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defaultThemeVersion="166925"/>
  <mc:AlternateContent xmlns:mc="http://schemas.openxmlformats.org/markup-compatibility/2006">
    <mc:Choice Requires="x15">
      <x15ac:absPath xmlns:x15ac="http://schemas.microsoft.com/office/spreadsheetml/2010/11/ac" url="\\10.194.52.158\下水道研究部共有\03処理研\★★元HDD【暫定版】\共通\★脱炭素\★エネルギー分科会\★令和4以降の取組\R4分科会\ツール関連\R4の取り組み\2030年目標設定ツール\★下水道部HP用\HP添付ファイル\"/>
    </mc:Choice>
  </mc:AlternateContent>
  <xr:revisionPtr revIDLastSave="0" documentId="13_ncr:1_{8C6BA0A3-36FA-44A3-AA37-4AFE42DDB22C}" xr6:coauthVersionLast="47" xr6:coauthVersionMax="47" xr10:uidLastSave="{00000000-0000-0000-0000-000000000000}"/>
  <bookViews>
    <workbookView xWindow="-28920" yWindow="-12345" windowWidth="29040" windowHeight="15720" tabRatio="824" xr2:uid="{3F2C5A66-3D6B-4323-8DE9-ABB76093B507}"/>
  </bookViews>
  <sheets>
    <sheet name="互換性チェック" sheetId="52" r:id="rId1"/>
    <sheet name="選択肢リスト" sheetId="4" r:id="rId2"/>
    <sheet name="ツール入力シート①" sheetId="3" r:id="rId3"/>
    <sheet name="ツール入力シート②" sheetId="40" r:id="rId4"/>
    <sheet name="ツール入力シート③" sheetId="41" r:id="rId5"/>
    <sheet name="目標設定の考え方について" sheetId="42" r:id="rId6"/>
    <sheet name="2030年目標設定" sheetId="45" r:id="rId7"/>
    <sheet name="2018年平均値" sheetId="49" r:id="rId8"/>
    <sheet name="水処理対策シート" sheetId="11" r:id="rId9"/>
    <sheet name="汚泥処理対策シート" sheetId="12" r:id="rId10"/>
    <sheet name="再エネ対策シート" sheetId="46" r:id="rId11"/>
    <sheet name="追加対策シート" sheetId="13" r:id="rId12"/>
    <sheet name="対策後の結果の出力" sheetId="28" r:id="rId13"/>
    <sheet name="水処理対策No.1" sheetId="10" r:id="rId14"/>
    <sheet name="水処理対策No.2" sheetId="14" r:id="rId15"/>
    <sheet name="水処理対策No.3" sheetId="16" r:id="rId16"/>
    <sheet name="水処理対策No.4" sheetId="17" r:id="rId17"/>
    <sheet name="水処理対策No.5" sheetId="22" r:id="rId18"/>
    <sheet name="水処理対策No.6" sheetId="15" r:id="rId19"/>
    <sheet name="水処理対策No.7" sheetId="23" r:id="rId20"/>
    <sheet name="水処理対策No.8" sheetId="24" r:id="rId21"/>
    <sheet name="水処理対策No.9" sheetId="25" r:id="rId22"/>
    <sheet name="汚泥処理対策No.1" sheetId="18" r:id="rId23"/>
    <sheet name="汚泥処理対策No.2" sheetId="20" r:id="rId24"/>
    <sheet name="汚泥処理対策No.3" sheetId="21" r:id="rId25"/>
    <sheet name="汚泥処理対策No.4" sheetId="35" r:id="rId26"/>
    <sheet name="汚泥処理対策No.5" sheetId="29" r:id="rId27"/>
    <sheet name="汚泥処理対策No.6" sheetId="30" r:id="rId28"/>
    <sheet name="汚泥処理対策No.7" sheetId="36" r:id="rId29"/>
    <sheet name="汚泥処理対策No.8" sheetId="38" r:id="rId30"/>
    <sheet name="汚泥処理対策No.9" sheetId="37" r:id="rId31"/>
    <sheet name="再エネ対策No.1" sheetId="47" r:id="rId32"/>
    <sheet name="再エネ対策No.2" sheetId="48" r:id="rId33"/>
  </sheets>
  <externalReferences>
    <externalReference r:id="rId34"/>
    <externalReference r:id="rId35"/>
    <externalReference r:id="rId36"/>
  </externalReferences>
  <definedNames>
    <definedName name="_1a1_">#REF!</definedName>
    <definedName name="_Fill" hidden="1">#REF!</definedName>
    <definedName name="_xlnm._FilterDatabase" localSheetId="2" hidden="1">ツール入力シート①!#REF!</definedName>
    <definedName name="_xlnm._FilterDatabase" localSheetId="10" hidden="1">再エネ対策シート!$B$6:$H$7</definedName>
    <definedName name="_xlnm._FilterDatabase" localSheetId="11" hidden="1">追加対策シート!$B$6:$F$7</definedName>
    <definedName name="AUTOEXEC">#REF!</definedName>
    <definedName name="Code2区分">'[1]表3-10'!$W$6:$X$9</definedName>
    <definedName name="CodeTo規模">#REF!</definedName>
    <definedName name="CODEto県">#REF!</definedName>
    <definedName name="END">#REF!</definedName>
    <definedName name="_xlnm.Print_Area" localSheetId="2">ツール入力シート①!$A$1:$L$54</definedName>
    <definedName name="_xlnm.Print_Area" localSheetId="26">汚泥処理対策No.5!$A$1:$M$146</definedName>
    <definedName name="_xlnm.Print_Area" localSheetId="27">汚泥処理対策No.6!$A$1:$M$168</definedName>
    <definedName name="_xlnm.Print_Area" localSheetId="28">汚泥処理対策No.7!$A$1:$N$125</definedName>
    <definedName name="_xlnm.Print_Area" localSheetId="30">汚泥処理対策No.9!$A$35:$N$279</definedName>
    <definedName name="SCROL">#REF!</definedName>
    <definedName name="あ">#REF!</definedName>
    <definedName name="記号">'[2]表3-10'!$T$1:$U$4</definedName>
    <definedName name="休止">#REF!</definedName>
    <definedName name="区分Code">'[2]表3-10'!$T$6:$V$9</definedName>
    <definedName name="県toCODE">#REF!</definedName>
    <definedName name="市町村区分">'[3]表1.1'!$B$3:$C$7</definedName>
    <definedName name="集約方式">#REF!</definedName>
    <definedName name="処理方式選択肢">#REF!</definedName>
    <definedName name="処理方式大分類">#REF!</definedName>
    <definedName name="焼却炉区分">#REF!</definedName>
    <definedName name="焼却炉区分H25">#REF!</definedName>
    <definedName name="前年">'[1]前年度06-1'!$B$3:$BG$2196</definedName>
    <definedName name="団体等">#REF!</definedName>
    <definedName name="都市規模">#REF!</definedName>
    <definedName name="都道府県">'[2]表3-10'!$I$1270:$K$1316</definedName>
    <definedName name="廃止">#REF!</definedName>
    <definedName name="溶融炉区分">#REF!</definedName>
    <definedName name="溶融炉区分H25">#REF!</definedName>
  </definedNames>
  <calcPr calcId="191029"/>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2" i="45" l="1"/>
  <c r="C20" i="45"/>
  <c r="T18" i="45"/>
  <c r="H143" i="29" l="1"/>
  <c r="I113" i="36"/>
  <c r="D16" i="24"/>
  <c r="D14" i="24"/>
  <c r="D9" i="47" l="1"/>
  <c r="D10" i="48" l="1"/>
  <c r="F9" i="13" l="1"/>
  <c r="F10" i="13"/>
  <c r="F11" i="13"/>
  <c r="F12" i="13"/>
  <c r="F13" i="13"/>
  <c r="F14" i="13"/>
  <c r="F15" i="13"/>
  <c r="F16" i="13"/>
  <c r="F17" i="13"/>
  <c r="F18" i="13"/>
  <c r="F19" i="13"/>
  <c r="F20" i="13"/>
  <c r="F21" i="13"/>
  <c r="F22" i="13"/>
  <c r="F23" i="13"/>
  <c r="F24" i="13"/>
  <c r="F25" i="13"/>
  <c r="F26" i="13"/>
  <c r="F27" i="13"/>
  <c r="D28" i="13"/>
  <c r="F9" i="46"/>
  <c r="F8" i="46"/>
  <c r="I16" i="12"/>
  <c r="I15" i="12"/>
  <c r="I14" i="12"/>
  <c r="I13" i="12"/>
  <c r="I12" i="12"/>
  <c r="I11" i="12"/>
  <c r="I10" i="12"/>
  <c r="I9" i="12"/>
  <c r="I8" i="12"/>
  <c r="J16" i="11"/>
  <c r="J15" i="11"/>
  <c r="J14" i="11"/>
  <c r="J13" i="11"/>
  <c r="J12" i="11"/>
  <c r="I16" i="11"/>
  <c r="K16" i="11" s="1"/>
  <c r="I15" i="11"/>
  <c r="K15" i="11" s="1"/>
  <c r="I14" i="11"/>
  <c r="K14" i="11" s="1"/>
  <c r="I13" i="11"/>
  <c r="K13" i="11" s="1"/>
  <c r="I12" i="11"/>
  <c r="K12" i="11" s="1"/>
  <c r="I11" i="11"/>
  <c r="I10" i="11"/>
  <c r="I17" i="12" l="1"/>
  <c r="H58" i="28"/>
  <c r="H59" i="28"/>
  <c r="H60" i="28"/>
  <c r="H61" i="28"/>
  <c r="H62" i="28"/>
  <c r="H63" i="28"/>
  <c r="H64" i="28"/>
  <c r="H65" i="28"/>
  <c r="H66" i="28"/>
  <c r="H67" i="28"/>
  <c r="H68" i="28"/>
  <c r="H69" i="28"/>
  <c r="H70" i="28"/>
  <c r="H71" i="28"/>
  <c r="H72" i="28"/>
  <c r="H73" i="28"/>
  <c r="H74" i="28"/>
  <c r="H75" i="28"/>
  <c r="H76" i="28"/>
  <c r="H57" i="28"/>
  <c r="C68" i="28"/>
  <c r="C69" i="28"/>
  <c r="C70" i="28"/>
  <c r="C71" i="28"/>
  <c r="C72" i="28"/>
  <c r="C73" i="28"/>
  <c r="C74" i="28"/>
  <c r="C75" i="28"/>
  <c r="C76" i="28"/>
  <c r="C58" i="28"/>
  <c r="C59" i="28"/>
  <c r="C60" i="28"/>
  <c r="C61" i="28"/>
  <c r="C62" i="28"/>
  <c r="C63" i="28"/>
  <c r="C64" i="28"/>
  <c r="C65" i="28"/>
  <c r="C66" i="28"/>
  <c r="C67" i="28"/>
  <c r="H55" i="28"/>
  <c r="H54" i="28"/>
  <c r="H52" i="28"/>
  <c r="C57" i="28"/>
  <c r="C55" i="28"/>
  <c r="C54" i="28"/>
  <c r="C44" i="28"/>
  <c r="H45" i="28"/>
  <c r="H46" i="28"/>
  <c r="H47" i="28"/>
  <c r="H48" i="28"/>
  <c r="H49" i="28"/>
  <c r="H50" i="28"/>
  <c r="H51" i="28"/>
  <c r="H44" i="28"/>
  <c r="H36" i="28"/>
  <c r="H37" i="28"/>
  <c r="H38" i="28"/>
  <c r="I38" i="28" s="1"/>
  <c r="H39" i="28"/>
  <c r="I39" i="28" s="1"/>
  <c r="H40" i="28"/>
  <c r="I40" i="28" s="1"/>
  <c r="H41" i="28"/>
  <c r="I41" i="28" s="1"/>
  <c r="H42" i="28"/>
  <c r="I42" i="28" s="1"/>
  <c r="C45" i="28"/>
  <c r="C46" i="28"/>
  <c r="C47" i="28"/>
  <c r="C48" i="28"/>
  <c r="C49" i="28"/>
  <c r="C50" i="28"/>
  <c r="C51" i="28"/>
  <c r="C52" i="28"/>
  <c r="C35" i="28"/>
  <c r="C36" i="28"/>
  <c r="C37" i="28"/>
  <c r="C38" i="28"/>
  <c r="C39" i="28"/>
  <c r="C40" i="28"/>
  <c r="C41" i="28"/>
  <c r="C42" i="28"/>
  <c r="C34" i="28"/>
  <c r="K35" i="36"/>
  <c r="I101" i="36"/>
  <c r="I52" i="36"/>
  <c r="E16" i="40"/>
  <c r="D11" i="47" l="1"/>
  <c r="H28" i="40"/>
  <c r="H26" i="40"/>
  <c r="H24" i="40"/>
  <c r="H22" i="40"/>
  <c r="H20" i="40"/>
  <c r="C5" i="49"/>
  <c r="I5" i="49" s="1"/>
  <c r="D9" i="49" s="1"/>
  <c r="C28" i="45"/>
  <c r="C36" i="45" s="1"/>
  <c r="C37" i="45" s="1"/>
  <c r="J52" i="3"/>
  <c r="J51" i="3"/>
  <c r="J50" i="3"/>
  <c r="J49" i="3"/>
  <c r="J48" i="3"/>
  <c r="J47" i="3"/>
  <c r="J46" i="3"/>
  <c r="J45" i="3"/>
  <c r="J44" i="3"/>
  <c r="J43" i="3"/>
  <c r="J42" i="3"/>
  <c r="J41" i="3"/>
  <c r="G40" i="3"/>
  <c r="J40" i="3" s="1"/>
  <c r="J53" i="3" l="1"/>
  <c r="F7" i="45" s="1"/>
  <c r="D9" i="48"/>
  <c r="D15" i="48" s="1"/>
  <c r="M16" i="47"/>
  <c r="D17" i="48" l="1"/>
  <c r="F16" i="47"/>
  <c r="G16" i="47"/>
  <c r="J16" i="47"/>
  <c r="N16" i="47"/>
  <c r="I16" i="47"/>
  <c r="K16" i="47"/>
  <c r="D16" i="47"/>
  <c r="L16" i="47"/>
  <c r="H16" i="47"/>
  <c r="C16" i="47"/>
  <c r="E16" i="47"/>
  <c r="C17" i="47" l="1"/>
  <c r="C19" i="47" s="1"/>
  <c r="F10" i="46" s="1"/>
  <c r="C29" i="45" l="1"/>
  <c r="D38" i="41" l="1"/>
  <c r="F38" i="41" s="1"/>
  <c r="G28" i="41"/>
  <c r="I28" i="41" s="1"/>
  <c r="E18" i="41"/>
  <c r="E19" i="41"/>
  <c r="E20" i="41"/>
  <c r="E21" i="41"/>
  <c r="E22" i="41"/>
  <c r="E17" i="41"/>
  <c r="D12" i="41"/>
  <c r="F12" i="41" s="1"/>
  <c r="C23" i="41" l="1"/>
  <c r="C41" i="41" s="1"/>
  <c r="F9" i="45" l="1"/>
  <c r="K29" i="40"/>
  <c r="K30" i="40"/>
  <c r="K31" i="40"/>
  <c r="K32" i="40"/>
  <c r="K15" i="40"/>
  <c r="K14" i="40"/>
  <c r="K13" i="40"/>
  <c r="K12" i="40"/>
  <c r="K11" i="40"/>
  <c r="K10" i="40"/>
  <c r="K9" i="40"/>
  <c r="K8" i="40"/>
  <c r="K28" i="40"/>
  <c r="K27" i="40"/>
  <c r="K26" i="40"/>
  <c r="K25" i="40"/>
  <c r="K24" i="40"/>
  <c r="K23" i="40"/>
  <c r="K22" i="40"/>
  <c r="K21" i="40"/>
  <c r="K19" i="40"/>
  <c r="K20" i="40"/>
  <c r="H18" i="40"/>
  <c r="K18" i="40" s="1"/>
  <c r="K17" i="40"/>
  <c r="K16" i="40" l="1"/>
  <c r="K33" i="40" s="1"/>
  <c r="F8" i="45" s="1"/>
  <c r="J35" i="3"/>
  <c r="J34" i="3"/>
  <c r="J33" i="3"/>
  <c r="J32" i="3"/>
  <c r="J31" i="3" l="1"/>
  <c r="J30" i="3"/>
  <c r="J29" i="3"/>
  <c r="J28" i="3"/>
  <c r="J27" i="3"/>
  <c r="J26" i="3"/>
  <c r="J25" i="3"/>
  <c r="J24" i="3"/>
  <c r="G23" i="3"/>
  <c r="J23" i="3" s="1"/>
  <c r="D12" i="3"/>
  <c r="C14" i="3" s="1"/>
  <c r="D22" i="38"/>
  <c r="C22" i="38"/>
  <c r="D14" i="38"/>
  <c r="J274" i="37"/>
  <c r="J270" i="37"/>
  <c r="J264" i="37"/>
  <c r="J240" i="37"/>
  <c r="J238" i="37"/>
  <c r="J223" i="37"/>
  <c r="J251" i="37" s="1"/>
  <c r="J222" i="37"/>
  <c r="J212" i="37"/>
  <c r="J211" i="37"/>
  <c r="J210" i="37"/>
  <c r="J204" i="37"/>
  <c r="J202" i="37"/>
  <c r="J181" i="37"/>
  <c r="J180" i="37"/>
  <c r="J166" i="37"/>
  <c r="K166" i="37" s="1"/>
  <c r="J165" i="37"/>
  <c r="K165" i="37" s="1"/>
  <c r="J140" i="37"/>
  <c r="J139" i="37"/>
  <c r="K139" i="37" s="1"/>
  <c r="J138" i="37"/>
  <c r="K138" i="37" s="1"/>
  <c r="J137" i="37"/>
  <c r="K137" i="37" s="1"/>
  <c r="H44" i="37"/>
  <c r="J275" i="37" s="1"/>
  <c r="H38" i="37"/>
  <c r="J227" i="37" s="1"/>
  <c r="D7" i="49" l="1"/>
  <c r="C26" i="45"/>
  <c r="C34" i="45" s="1"/>
  <c r="C39" i="45" s="1"/>
  <c r="J36" i="3"/>
  <c r="C18" i="45" s="1"/>
  <c r="D18" i="45" s="1"/>
  <c r="H40" i="37"/>
  <c r="J256" i="37" s="1"/>
  <c r="H43" i="37"/>
  <c r="J191" i="37" s="1"/>
  <c r="H39" i="37"/>
  <c r="J255" i="37" s="1"/>
  <c r="J160" i="37"/>
  <c r="K160" i="37" s="1"/>
  <c r="H41" i="37"/>
  <c r="J143" i="37" s="1"/>
  <c r="K143" i="37" s="1"/>
  <c r="J269" i="37"/>
  <c r="J268" i="37"/>
  <c r="J199" i="37"/>
  <c r="H42" i="37"/>
  <c r="J144" i="37" s="1"/>
  <c r="K144" i="37" s="1"/>
  <c r="J141" i="37"/>
  <c r="K141" i="37" s="1"/>
  <c r="J200" i="37"/>
  <c r="J258" i="37"/>
  <c r="J161" i="37"/>
  <c r="K161" i="37" s="1"/>
  <c r="J182" i="37"/>
  <c r="J192" i="37"/>
  <c r="J201" i="37"/>
  <c r="H45" i="37"/>
  <c r="J224" i="37"/>
  <c r="J233" i="37"/>
  <c r="J243" i="37" s="1"/>
  <c r="J278" i="37" s="1"/>
  <c r="J263" i="37"/>
  <c r="J271" i="37"/>
  <c r="H46" i="37"/>
  <c r="J142" i="37"/>
  <c r="K142" i="37" s="1"/>
  <c r="J162" i="37"/>
  <c r="K162" i="37" s="1"/>
  <c r="J272" i="37"/>
  <c r="J257" i="37"/>
  <c r="J265" i="37"/>
  <c r="J273" i="37"/>
  <c r="K140" i="37"/>
  <c r="J159" i="37"/>
  <c r="J236" i="37"/>
  <c r="J250" i="37"/>
  <c r="J266" i="37"/>
  <c r="J198" i="37"/>
  <c r="J267" i="37"/>
  <c r="E9" i="49" l="1"/>
  <c r="C9" i="49"/>
  <c r="F10" i="45"/>
  <c r="C45" i="45" s="1"/>
  <c r="E18" i="45"/>
  <c r="F18" i="45" s="1"/>
  <c r="G18" i="45" s="1"/>
  <c r="H18" i="45" s="1"/>
  <c r="I18" i="45" s="1"/>
  <c r="J18" i="45" s="1"/>
  <c r="K18" i="45" s="1"/>
  <c r="L18" i="45" s="1"/>
  <c r="M18" i="45" s="1"/>
  <c r="N18" i="45" s="1"/>
  <c r="O18" i="45" s="1"/>
  <c r="P18" i="45" s="1"/>
  <c r="Q18" i="45" s="1"/>
  <c r="R18" i="45" s="1"/>
  <c r="S18" i="45" s="1"/>
  <c r="C31" i="45"/>
  <c r="J186" i="37"/>
  <c r="J149" i="37"/>
  <c r="K149" i="37" s="1"/>
  <c r="J184" i="37"/>
  <c r="J150" i="37"/>
  <c r="K150" i="37" s="1"/>
  <c r="J183" i="37"/>
  <c r="J226" i="37"/>
  <c r="J254" i="37" s="1"/>
  <c r="J147" i="37"/>
  <c r="K147" i="37" s="1"/>
  <c r="J185" i="37"/>
  <c r="J277" i="37"/>
  <c r="G129" i="37" s="1"/>
  <c r="J276" i="37"/>
  <c r="G128" i="37" s="1"/>
  <c r="K158" i="37"/>
  <c r="G127" i="37"/>
  <c r="G130" i="37"/>
  <c r="J146" i="37"/>
  <c r="K146" i="37" s="1"/>
  <c r="J252" i="37"/>
  <c r="J262" i="37" s="1"/>
  <c r="G121" i="37" s="1"/>
  <c r="K159" i="37"/>
  <c r="J171" i="37"/>
  <c r="J215" i="37"/>
  <c r="J225" i="37"/>
  <c r="J145" i="37"/>
  <c r="J207" i="37"/>
  <c r="J164" i="37"/>
  <c r="K164" i="37" s="1"/>
  <c r="J237" i="37"/>
  <c r="J206" i="37"/>
  <c r="J205" i="37"/>
  <c r="J167" i="37"/>
  <c r="J163" i="37"/>
  <c r="K163" i="37" s="1"/>
  <c r="J168" i="37"/>
  <c r="K168" i="37" s="1"/>
  <c r="J235" i="37"/>
  <c r="J234" i="37"/>
  <c r="J203" i="37"/>
  <c r="J239" i="37"/>
  <c r="J208" i="37"/>
  <c r="J209" i="37"/>
  <c r="J189" i="37"/>
  <c r="J148" i="37"/>
  <c r="K148" i="37" s="1"/>
  <c r="J154" i="37"/>
  <c r="J232" i="37"/>
  <c r="G117" i="37" s="1"/>
  <c r="J187" i="37"/>
  <c r="D5" i="28" l="1"/>
  <c r="E13" i="13"/>
  <c r="E21" i="13"/>
  <c r="J9" i="12"/>
  <c r="K9" i="12" s="1"/>
  <c r="J11" i="11"/>
  <c r="K11" i="11" s="1"/>
  <c r="E18" i="13"/>
  <c r="E27" i="13"/>
  <c r="E14" i="13"/>
  <c r="E22" i="13"/>
  <c r="J10" i="12"/>
  <c r="K10" i="12" s="1"/>
  <c r="J8" i="12"/>
  <c r="K8" i="12" s="1"/>
  <c r="J10" i="11"/>
  <c r="K10" i="11" s="1"/>
  <c r="J9" i="11"/>
  <c r="E26" i="13"/>
  <c r="E11" i="13"/>
  <c r="E15" i="13"/>
  <c r="E23" i="13"/>
  <c r="J11" i="12"/>
  <c r="K11" i="12" s="1"/>
  <c r="J14" i="12"/>
  <c r="K14" i="12" s="1"/>
  <c r="E16" i="13"/>
  <c r="E24" i="13"/>
  <c r="G10" i="46"/>
  <c r="H10" i="46" s="1"/>
  <c r="J12" i="12"/>
  <c r="K12" i="12" s="1"/>
  <c r="J8" i="11"/>
  <c r="E19" i="13"/>
  <c r="E9" i="13"/>
  <c r="E17" i="13"/>
  <c r="E25" i="13"/>
  <c r="G9" i="46"/>
  <c r="H9" i="46" s="1"/>
  <c r="J13" i="12"/>
  <c r="K13" i="12" s="1"/>
  <c r="G8" i="46"/>
  <c r="H8" i="46" s="1"/>
  <c r="J15" i="12"/>
  <c r="K15" i="12" s="1"/>
  <c r="E12" i="13"/>
  <c r="E20" i="13"/>
  <c r="E8" i="13"/>
  <c r="F8" i="13" s="1"/>
  <c r="J16" i="12"/>
  <c r="K16" i="12" s="1"/>
  <c r="E10" i="13"/>
  <c r="E28" i="13"/>
  <c r="F28" i="13" s="1"/>
  <c r="J17" i="12"/>
  <c r="K17" i="12" s="1"/>
  <c r="G9" i="49"/>
  <c r="C14" i="49" s="1"/>
  <c r="F11" i="45"/>
  <c r="C13" i="49" s="1"/>
  <c r="E13" i="49" s="1"/>
  <c r="B43" i="45"/>
  <c r="C46" i="45" s="1"/>
  <c r="C47" i="45" s="1"/>
  <c r="F5" i="28" s="1"/>
  <c r="J194" i="37"/>
  <c r="J197" i="37"/>
  <c r="G113" i="37" s="1"/>
  <c r="J242" i="37"/>
  <c r="G126" i="37" s="1"/>
  <c r="J195" i="37"/>
  <c r="J260" i="37"/>
  <c r="G119" i="37" s="1"/>
  <c r="J261" i="37"/>
  <c r="G120" i="37" s="1"/>
  <c r="J213" i="37"/>
  <c r="J231" i="37"/>
  <c r="G116" i="37" s="1"/>
  <c r="J196" i="37"/>
  <c r="J230" i="37"/>
  <c r="G115" i="37" s="1"/>
  <c r="K157" i="37"/>
  <c r="J241" i="37"/>
  <c r="G125" i="37" s="1"/>
  <c r="J253" i="37"/>
  <c r="J259" i="37" s="1"/>
  <c r="G118" i="37" s="1"/>
  <c r="J229" i="37"/>
  <c r="G114" i="37" s="1"/>
  <c r="J151" i="37"/>
  <c r="K145" i="37"/>
  <c r="K155" i="37" s="1"/>
  <c r="K167" i="37"/>
  <c r="K172" i="37" s="1"/>
  <c r="J169" i="37"/>
  <c r="J153" i="37"/>
  <c r="J214" i="37"/>
  <c r="J170" i="37"/>
  <c r="K156" i="37"/>
  <c r="J152" i="37"/>
  <c r="K174" i="37"/>
  <c r="G124" i="37" s="1"/>
  <c r="I62" i="28" l="1"/>
  <c r="I70" i="28"/>
  <c r="I60" i="28"/>
  <c r="I63" i="28"/>
  <c r="I68" i="28"/>
  <c r="I72" i="28"/>
  <c r="I75" i="28"/>
  <c r="I57" i="28"/>
  <c r="I76" i="28"/>
  <c r="I65" i="28"/>
  <c r="I73" i="28"/>
  <c r="I74" i="28"/>
  <c r="I58" i="28"/>
  <c r="I66" i="28"/>
  <c r="I67" i="28"/>
  <c r="I61" i="28"/>
  <c r="I69" i="28"/>
  <c r="I71" i="28"/>
  <c r="I64" i="28"/>
  <c r="I59" i="28"/>
  <c r="I50" i="28"/>
  <c r="I45" i="28"/>
  <c r="I55" i="28"/>
  <c r="I47" i="28"/>
  <c r="I37" i="28"/>
  <c r="I54" i="28"/>
  <c r="I44" i="28"/>
  <c r="I52" i="28"/>
  <c r="I48" i="28"/>
  <c r="I46" i="28"/>
  <c r="I51" i="28"/>
  <c r="I49" i="28"/>
  <c r="I36" i="28"/>
  <c r="E14" i="49"/>
  <c r="B33" i="49"/>
  <c r="G110" i="37"/>
  <c r="G111" i="37"/>
  <c r="G112" i="37"/>
  <c r="G122" i="37"/>
  <c r="K173" i="37"/>
  <c r="G123" i="37" s="1"/>
  <c r="J33" i="49" l="1"/>
  <c r="E5" i="28"/>
  <c r="M118" i="36"/>
  <c r="I120" i="36" s="1"/>
  <c r="I122" i="36" s="1"/>
  <c r="M111" i="36"/>
  <c r="M105" i="36"/>
  <c r="M102" i="36"/>
  <c r="M98" i="36"/>
  <c r="I98" i="36" s="1"/>
  <c r="M81" i="36"/>
  <c r="M79" i="36"/>
  <c r="I79" i="36" s="1"/>
  <c r="I78" i="36"/>
  <c r="I77" i="36"/>
  <c r="M74" i="36"/>
  <c r="M73" i="36"/>
  <c r="I72" i="36"/>
  <c r="M71" i="36"/>
  <c r="M70" i="36"/>
  <c r="I69" i="36"/>
  <c r="M67" i="36"/>
  <c r="M65" i="36"/>
  <c r="I57" i="36"/>
  <c r="I53" i="36"/>
  <c r="I51" i="36"/>
  <c r="I50" i="36"/>
  <c r="I46" i="36"/>
  <c r="I42" i="36"/>
  <c r="I41" i="36"/>
  <c r="I40" i="36"/>
  <c r="M35" i="36"/>
  <c r="L34" i="36"/>
  <c r="M34" i="36"/>
  <c r="K34" i="36"/>
  <c r="I61" i="36" s="1"/>
  <c r="I64" i="36" s="1"/>
  <c r="I115" i="36" l="1"/>
  <c r="I111" i="36"/>
  <c r="I81" i="36"/>
  <c r="I83" i="36" s="1"/>
  <c r="L35" i="36"/>
  <c r="I73" i="36"/>
  <c r="I102" i="36"/>
  <c r="I54" i="36"/>
  <c r="G91" i="36" s="1"/>
  <c r="I44" i="36"/>
  <c r="I48" i="36" s="1"/>
  <c r="I59" i="36"/>
  <c r="I99" i="36"/>
  <c r="I100" i="36" s="1"/>
  <c r="I103" i="36"/>
  <c r="I118" i="36"/>
  <c r="I70" i="36"/>
  <c r="I105" i="36"/>
  <c r="I65" i="36"/>
  <c r="I123" i="36" s="1"/>
  <c r="I43" i="36"/>
  <c r="I55" i="36"/>
  <c r="I110" i="36" l="1"/>
  <c r="I116" i="36" s="1"/>
  <c r="G92" i="36"/>
  <c r="I84" i="36"/>
  <c r="I104" i="36"/>
  <c r="I67" i="36"/>
  <c r="I117" i="36" l="1"/>
  <c r="I124" i="36" s="1"/>
  <c r="E128" i="36" s="1"/>
  <c r="I106" i="36"/>
  <c r="G93" i="36"/>
  <c r="G94" i="36" s="1"/>
  <c r="I76" i="36"/>
  <c r="I85" i="36" s="1"/>
  <c r="I86" i="36" s="1"/>
  <c r="I87" i="36" s="1"/>
  <c r="I125" i="36" l="1"/>
  <c r="H145" i="30"/>
  <c r="H147" i="30" s="1"/>
  <c r="H142" i="30"/>
  <c r="F128" i="30"/>
  <c r="F125" i="30"/>
  <c r="F124" i="30"/>
  <c r="F121" i="30"/>
  <c r="F120" i="30"/>
  <c r="H113" i="30"/>
  <c r="H117" i="30" s="1"/>
  <c r="H140" i="30" s="1"/>
  <c r="H111" i="30"/>
  <c r="H136" i="30" s="1"/>
  <c r="H57" i="30"/>
  <c r="H50" i="30"/>
  <c r="H49" i="30"/>
  <c r="H48" i="30"/>
  <c r="D33" i="30"/>
  <c r="G32" i="30"/>
  <c r="H85" i="30" l="1"/>
  <c r="H76" i="30"/>
  <c r="H79" i="30" s="1"/>
  <c r="H139" i="30"/>
  <c r="H54" i="30"/>
  <c r="H67" i="30"/>
  <c r="H68" i="30"/>
  <c r="H46" i="30"/>
  <c r="H71" i="30"/>
  <c r="H152" i="30"/>
  <c r="H75" i="30"/>
  <c r="H77" i="30" s="1"/>
  <c r="H87" i="30"/>
  <c r="H125" i="30" s="1"/>
  <c r="H155" i="30" s="1"/>
  <c r="H137" i="30"/>
  <c r="H128" i="30"/>
  <c r="H86" i="30"/>
  <c r="H47" i="30"/>
  <c r="H59" i="30"/>
  <c r="H63" i="30" s="1"/>
  <c r="H105" i="30" s="1"/>
  <c r="H69" i="30"/>
  <c r="H70" i="30"/>
  <c r="H89" i="30"/>
  <c r="H115" i="30"/>
  <c r="H116" i="30" s="1"/>
  <c r="H119" i="30" s="1"/>
  <c r="H150" i="30"/>
  <c r="H82" i="30"/>
  <c r="H91" i="30"/>
  <c r="H92" i="30" s="1"/>
  <c r="D36" i="30"/>
  <c r="D38" i="30" s="1"/>
  <c r="H159" i="30" s="1"/>
  <c r="H161" i="30" s="1"/>
  <c r="H73" i="30"/>
  <c r="H66" i="30"/>
  <c r="H144" i="30" l="1"/>
  <c r="H148" i="30" s="1"/>
  <c r="H81" i="30"/>
  <c r="H51" i="30"/>
  <c r="H102" i="30" s="1"/>
  <c r="H52" i="30"/>
  <c r="H64" i="30" s="1"/>
  <c r="H65" i="30" s="1"/>
  <c r="H62" i="30"/>
  <c r="H126" i="30"/>
  <c r="H88" i="30"/>
  <c r="H74" i="30"/>
  <c r="H120" i="30"/>
  <c r="H163" i="30"/>
  <c r="H129" i="30"/>
  <c r="H72" i="30"/>
  <c r="H103" i="30"/>
  <c r="H156" i="30"/>
  <c r="H90" i="30"/>
  <c r="H84" i="30"/>
  <c r="H121" i="30"/>
  <c r="H154" i="30" s="1"/>
  <c r="H104" i="30" l="1"/>
  <c r="H96" i="30"/>
  <c r="H123" i="30"/>
  <c r="H124" i="30" s="1"/>
  <c r="H127" i="30" s="1"/>
  <c r="H130" i="30" s="1"/>
  <c r="H132" i="30" s="1"/>
  <c r="H149" i="30"/>
  <c r="H158" i="30" s="1"/>
  <c r="H162" i="30" s="1"/>
  <c r="H95" i="30"/>
  <c r="H106" i="30" s="1"/>
  <c r="H107" i="30" s="1"/>
  <c r="H97" i="30" l="1"/>
  <c r="H98" i="30" s="1"/>
  <c r="H164" i="30" l="1"/>
  <c r="D172" i="30" s="1"/>
  <c r="H165" i="30" l="1"/>
  <c r="L143" i="29"/>
  <c r="K113" i="29"/>
  <c r="E113" i="29"/>
  <c r="H112" i="29"/>
  <c r="H111" i="29"/>
  <c r="H110" i="29"/>
  <c r="H100" i="29"/>
  <c r="H93" i="29"/>
  <c r="H94" i="29" s="1"/>
  <c r="H91" i="29"/>
  <c r="H118" i="29" s="1"/>
  <c r="H90" i="29"/>
  <c r="H88" i="29"/>
  <c r="H89" i="29" s="1"/>
  <c r="H86" i="29"/>
  <c r="H87" i="29" s="1"/>
  <c r="H84" i="29"/>
  <c r="H119" i="29" s="1"/>
  <c r="H82" i="29"/>
  <c r="H117" i="29" s="1"/>
  <c r="H81" i="29"/>
  <c r="H80" i="29"/>
  <c r="H79" i="29"/>
  <c r="H77" i="29"/>
  <c r="H78" i="29" s="1"/>
  <c r="H75" i="29"/>
  <c r="H73" i="29"/>
  <c r="H116" i="29" s="1"/>
  <c r="H72" i="29"/>
  <c r="H61" i="29"/>
  <c r="H60" i="29"/>
  <c r="H59" i="29"/>
  <c r="H40" i="29"/>
  <c r="G40" i="29"/>
  <c r="L130" i="29" s="1"/>
  <c r="H39" i="29"/>
  <c r="G39" i="29"/>
  <c r="L112" i="29" s="1"/>
  <c r="H114" i="29" s="1"/>
  <c r="D34" i="29"/>
  <c r="D35" i="29" s="1"/>
  <c r="D31" i="29"/>
  <c r="H55" i="29" s="1"/>
  <c r="H131" i="29" l="1"/>
  <c r="H132" i="29" s="1"/>
  <c r="H138" i="29"/>
  <c r="H139" i="29" s="1"/>
  <c r="H140" i="29"/>
  <c r="H98" i="29"/>
  <c r="H74" i="29"/>
  <c r="H128" i="29"/>
  <c r="H129" i="29" s="1"/>
  <c r="H83" i="29"/>
  <c r="H130" i="29"/>
  <c r="H135" i="29"/>
  <c r="H136" i="29" s="1"/>
  <c r="H63" i="29"/>
  <c r="H62" i="29"/>
  <c r="D36" i="29"/>
  <c r="H58" i="29" s="1"/>
  <c r="H133" i="29"/>
  <c r="H137" i="29"/>
  <c r="H121" i="29"/>
  <c r="H122" i="29" s="1"/>
  <c r="H56" i="29"/>
  <c r="H64" i="29" s="1"/>
  <c r="H76" i="29"/>
  <c r="H92" i="29"/>
  <c r="H85" i="29"/>
  <c r="H123" i="29"/>
  <c r="H144" i="29" s="1"/>
  <c r="H115" i="29"/>
  <c r="H95" i="29"/>
  <c r="H96" i="29"/>
  <c r="H134" i="29" l="1"/>
  <c r="H124" i="29"/>
  <c r="H67" i="29"/>
  <c r="H65" i="29"/>
  <c r="H103" i="29"/>
  <c r="H101" i="29"/>
  <c r="D149" i="29" l="1"/>
  <c r="H145" i="29"/>
  <c r="H104" i="29"/>
  <c r="H69" i="29"/>
  <c r="H70" i="29" s="1"/>
  <c r="H106" i="29" l="1"/>
  <c r="D14" i="25" l="1"/>
  <c r="D15" i="25"/>
  <c r="D17" i="24"/>
  <c r="D15" i="23"/>
  <c r="D14" i="23"/>
  <c r="D16" i="23" s="1"/>
  <c r="D15" i="22"/>
  <c r="D14" i="22"/>
  <c r="D16" i="22" s="1"/>
  <c r="D14" i="21"/>
  <c r="D16" i="21" s="1"/>
  <c r="D15" i="21"/>
  <c r="D18" i="24" l="1"/>
  <c r="D16" i="25"/>
  <c r="D13" i="20"/>
  <c r="D14" i="20"/>
  <c r="D15" i="20" l="1"/>
  <c r="D13" i="10"/>
  <c r="D15" i="18"/>
  <c r="D14" i="18"/>
  <c r="D16" i="18" s="1"/>
  <c r="D15" i="17"/>
  <c r="D14" i="17"/>
  <c r="D16" i="17" s="1"/>
  <c r="D14" i="16"/>
  <c r="D16" i="16" s="1"/>
  <c r="D23" i="16"/>
  <c r="E23" i="16"/>
  <c r="D15" i="16"/>
  <c r="D14" i="15"/>
  <c r="F37" i="15"/>
  <c r="F36" i="15"/>
  <c r="F34" i="15"/>
  <c r="F33" i="15"/>
  <c r="F31" i="15"/>
  <c r="F30" i="15"/>
  <c r="F28" i="15"/>
  <c r="F27" i="15"/>
  <c r="F25" i="15"/>
  <c r="F24" i="15"/>
  <c r="F22" i="15"/>
  <c r="F21" i="15"/>
  <c r="D15" i="15"/>
  <c r="D32" i="14"/>
  <c r="D14" i="10"/>
  <c r="D15" i="10" l="1"/>
  <c r="I8" i="11" s="1"/>
  <c r="D16" i="15"/>
  <c r="K8" i="11"/>
  <c r="H34" i="28"/>
  <c r="I34" i="28" l="1"/>
  <c r="D13" i="38"/>
  <c r="D15" i="38" s="1"/>
  <c r="D31" i="14"/>
  <c r="D33" i="14" s="1"/>
  <c r="I9" i="11" s="1"/>
  <c r="K9" i="11" l="1"/>
  <c r="H35" i="28"/>
  <c r="I17" i="11"/>
  <c r="J17" i="11" s="1"/>
  <c r="K17" i="11" s="1"/>
  <c r="G5" i="28" l="1"/>
  <c r="H7" i="28" s="1"/>
  <c r="I35" i="28"/>
  <c r="H77" i="28"/>
  <c r="I77" i="28" s="1"/>
  <c r="H5" i="28"/>
  <c r="I5" i="28"/>
  <c r="H6" i="28" l="1"/>
</calcChain>
</file>

<file path=xl/sharedStrings.xml><?xml version="1.0" encoding="utf-8"?>
<sst xmlns="http://schemas.openxmlformats.org/spreadsheetml/2006/main" count="3115" uniqueCount="1527">
  <si>
    <t>OD法</t>
    <rPh sb="2" eb="3">
      <t>ホウ</t>
    </rPh>
    <phoneticPr fontId="2"/>
  </si>
  <si>
    <t>処理方式リスト</t>
    <rPh sb="0" eb="4">
      <t>ショリホウシキ</t>
    </rPh>
    <phoneticPr fontId="2"/>
  </si>
  <si>
    <t>(処理方式を選択)</t>
    <rPh sb="1" eb="5">
      <t>ショリホウシキ</t>
    </rPh>
    <rPh sb="6" eb="8">
      <t>センタク</t>
    </rPh>
    <phoneticPr fontId="2"/>
  </si>
  <si>
    <t>単位</t>
    <rPh sb="0" eb="2">
      <t>タンイ</t>
    </rPh>
    <phoneticPr fontId="5"/>
  </si>
  <si>
    <t>排出係数</t>
    <rPh sb="0" eb="2">
      <t>ハイシュツ</t>
    </rPh>
    <rPh sb="2" eb="4">
      <t>ケイスウ</t>
    </rPh>
    <phoneticPr fontId="5"/>
  </si>
  <si>
    <t>排出量</t>
    <rPh sb="0" eb="2">
      <t>ハイシュツ</t>
    </rPh>
    <rPh sb="2" eb="3">
      <t>リョウ</t>
    </rPh>
    <phoneticPr fontId="5"/>
  </si>
  <si>
    <t>千kWh</t>
  </si>
  <si>
    <t>×</t>
  </si>
  <si>
    <t>＝</t>
  </si>
  <si>
    <t xml:space="preserve"> 特A重油</t>
  </si>
  <si>
    <t>kL</t>
  </si>
  <si>
    <t xml:space="preserve"> A重油</t>
  </si>
  <si>
    <t xml:space="preserve"> 灯油</t>
  </si>
  <si>
    <t xml:space="preserve"> 軽油</t>
  </si>
  <si>
    <t xml:space="preserve"> ガソリン</t>
  </si>
  <si>
    <t xml:space="preserve"> 都市ガス</t>
  </si>
  <si>
    <t xml:space="preserve"> プロパンガス</t>
  </si>
  <si>
    <t>ｔ</t>
  </si>
  <si>
    <t xml:space="preserve"> コークス</t>
  </si>
  <si>
    <t>kl</t>
  </si>
  <si>
    <t>＝</t>
    <phoneticPr fontId="2"/>
  </si>
  <si>
    <t>t-CO₂</t>
    <phoneticPr fontId="2"/>
  </si>
  <si>
    <t xml:space="preserve"> t-CO₂/千kWh</t>
    <phoneticPr fontId="2"/>
  </si>
  <si>
    <t xml:space="preserve"> t-CO₂/kL</t>
    <phoneticPr fontId="2"/>
  </si>
  <si>
    <t xml:space="preserve"> t-CO₂/t</t>
    <phoneticPr fontId="2"/>
  </si>
  <si>
    <t xml:space="preserve"> t-CO₂/kl</t>
    <phoneticPr fontId="2"/>
  </si>
  <si>
    <t>÷</t>
  </si>
  <si>
    <t>項目</t>
    <rPh sb="0" eb="2">
      <t>コウモク</t>
    </rPh>
    <phoneticPr fontId="2"/>
  </si>
  <si>
    <t>平均値の算出式</t>
    <rPh sb="0" eb="3">
      <t>ヘイキンチ</t>
    </rPh>
    <rPh sb="4" eb="6">
      <t>サンシュツ</t>
    </rPh>
    <rPh sb="6" eb="7">
      <t>シキ</t>
    </rPh>
    <phoneticPr fontId="2"/>
  </si>
  <si>
    <t>単位</t>
    <rPh sb="0" eb="2">
      <t>タンイ</t>
    </rPh>
    <phoneticPr fontId="2"/>
  </si>
  <si>
    <t>千Nm³</t>
    <phoneticPr fontId="2"/>
  </si>
  <si>
    <t xml:space="preserve"> t-CO₂/千Nm³</t>
    <rPh sb="7" eb="8">
      <t>セン</t>
    </rPh>
    <phoneticPr fontId="2"/>
  </si>
  <si>
    <t>○日平均処理水量</t>
    <rPh sb="1" eb="2">
      <t>ニチ</t>
    </rPh>
    <rPh sb="2" eb="4">
      <t>ヘイキン</t>
    </rPh>
    <rPh sb="4" eb="6">
      <t>ショリ</t>
    </rPh>
    <rPh sb="6" eb="7">
      <t>スイ</t>
    </rPh>
    <rPh sb="7" eb="8">
      <t>リョウ</t>
    </rPh>
    <phoneticPr fontId="5"/>
  </si>
  <si>
    <t xml:space="preserve"> 処理水量</t>
    <rPh sb="1" eb="3">
      <t>ショリ</t>
    </rPh>
    <rPh sb="3" eb="4">
      <t>スイ</t>
    </rPh>
    <rPh sb="4" eb="5">
      <t>リョウ</t>
    </rPh>
    <phoneticPr fontId="5"/>
  </si>
  <si>
    <r>
      <t>千m</t>
    </r>
    <r>
      <rPr>
        <vertAlign val="superscript"/>
        <sz val="11"/>
        <color theme="1"/>
        <rFont val="游ゴシック"/>
        <family val="3"/>
        <charset val="128"/>
        <scheme val="minor"/>
      </rPr>
      <t>3</t>
    </r>
    <r>
      <rPr>
        <sz val="11"/>
        <color theme="1"/>
        <rFont val="游ゴシック"/>
        <family val="3"/>
        <charset val="128"/>
        <scheme val="minor"/>
      </rPr>
      <t>/年</t>
    </r>
    <rPh sb="0" eb="1">
      <t>セン</t>
    </rPh>
    <rPh sb="4" eb="5">
      <t>ネン</t>
    </rPh>
    <phoneticPr fontId="5"/>
  </si>
  <si>
    <t xml:space="preserve"> 日/年</t>
    <rPh sb="1" eb="2">
      <t>ニチ</t>
    </rPh>
    <phoneticPr fontId="5"/>
  </si>
  <si>
    <r>
      <rPr>
        <sz val="11"/>
        <color theme="1"/>
        <rFont val="游ゴシック"/>
        <family val="3"/>
        <charset val="128"/>
        <scheme val="minor"/>
      </rPr>
      <t xml:space="preserve"> </t>
    </r>
    <r>
      <rPr>
        <sz val="11"/>
        <color theme="1"/>
        <rFont val="游ゴシック"/>
        <family val="2"/>
        <charset val="128"/>
        <scheme val="minor"/>
      </rPr>
      <t>m</t>
    </r>
    <r>
      <rPr>
        <vertAlign val="superscript"/>
        <sz val="11"/>
        <color theme="1"/>
        <rFont val="游ゴシック"/>
        <family val="3"/>
        <charset val="128"/>
        <scheme val="minor"/>
      </rPr>
      <t>3</t>
    </r>
    <r>
      <rPr>
        <sz val="11"/>
        <color theme="1"/>
        <rFont val="游ゴシック"/>
        <family val="2"/>
        <charset val="128"/>
        <scheme val="minor"/>
      </rPr>
      <t>/日</t>
    </r>
    <rPh sb="4" eb="5">
      <t>ニチ</t>
    </rPh>
    <phoneticPr fontId="5"/>
  </si>
  <si>
    <t>係数</t>
    <rPh sb="0" eb="2">
      <t>ケイスウ</t>
    </rPh>
    <phoneticPr fontId="2"/>
  </si>
  <si>
    <t>=</t>
    <phoneticPr fontId="2"/>
  </si>
  <si>
    <t>標準法</t>
    <rPh sb="0" eb="3">
      <t>ヒョウジュンホウ</t>
    </rPh>
    <phoneticPr fontId="2"/>
  </si>
  <si>
    <t>100,000m³/日~</t>
    <phoneticPr fontId="2"/>
  </si>
  <si>
    <t>～10,000m³/日</t>
    <rPh sb="10" eb="11">
      <t>ニチ</t>
    </rPh>
    <phoneticPr fontId="2"/>
  </si>
  <si>
    <t>ー</t>
    <phoneticPr fontId="2"/>
  </si>
  <si>
    <t>水処理方式</t>
    <rPh sb="0" eb="3">
      <t>ミズショリ</t>
    </rPh>
    <rPh sb="3" eb="5">
      <t>ホウシキ</t>
    </rPh>
    <phoneticPr fontId="2"/>
  </si>
  <si>
    <t>(水処理方式)</t>
    <rPh sb="1" eb="4">
      <t>ミズショリ</t>
    </rPh>
    <rPh sb="4" eb="6">
      <t>ホウシキ</t>
    </rPh>
    <phoneticPr fontId="2"/>
  </si>
  <si>
    <t>2.長時間エアレーション法</t>
    <phoneticPr fontId="2"/>
  </si>
  <si>
    <t>3.酸素活性汚泥法</t>
    <phoneticPr fontId="2"/>
  </si>
  <si>
    <t>10.接触酸化法</t>
    <phoneticPr fontId="2"/>
  </si>
  <si>
    <t>9.高速散水ろ床法</t>
    <phoneticPr fontId="2"/>
  </si>
  <si>
    <t>11.回転生物接触法</t>
  </si>
  <si>
    <t>12.土壌被覆型礫間接触法</t>
  </si>
  <si>
    <t>14.嫌気無酸素好気法</t>
  </si>
  <si>
    <t>15.循環式硝化脱窒法</t>
  </si>
  <si>
    <t>16.硝化内生脱窒法</t>
  </si>
  <si>
    <t>18.嫌気好気活性汚泥法</t>
  </si>
  <si>
    <t>1.標準活性汚泥法</t>
    <phoneticPr fontId="2"/>
  </si>
  <si>
    <t>19.高度処理オキシデーションディッチ法</t>
    <phoneticPr fontId="2"/>
  </si>
  <si>
    <t>4.モディファイド・エアレーション法</t>
  </si>
  <si>
    <t>5.ステップエアレーション法</t>
    <phoneticPr fontId="2"/>
  </si>
  <si>
    <t>6.回分式活性汚泥法</t>
    <phoneticPr fontId="2"/>
  </si>
  <si>
    <t>7.好気性ろ床法</t>
    <phoneticPr fontId="2"/>
  </si>
  <si>
    <t>8.嫌気好気ろ床法</t>
    <phoneticPr fontId="2"/>
  </si>
  <si>
    <t>13.オキシデーションディッチ法</t>
    <phoneticPr fontId="2"/>
  </si>
  <si>
    <t>17.ステップ流入式多段硝化脱窒法</t>
    <phoneticPr fontId="2"/>
  </si>
  <si>
    <t>焼却炉設備の有無</t>
    <rPh sb="3" eb="5">
      <t>セツビ</t>
    </rPh>
    <rPh sb="6" eb="8">
      <t>ウム</t>
    </rPh>
    <phoneticPr fontId="2"/>
  </si>
  <si>
    <t>焼却の有無</t>
    <rPh sb="0" eb="2">
      <t>ショウキャク</t>
    </rPh>
    <rPh sb="3" eb="5">
      <t>ウム</t>
    </rPh>
    <phoneticPr fontId="2"/>
  </si>
  <si>
    <t>(焼却設備の有無）</t>
    <rPh sb="1" eb="3">
      <t>ショウキャク</t>
    </rPh>
    <rPh sb="3" eb="5">
      <t>セツビ</t>
    </rPh>
    <rPh sb="6" eb="8">
      <t>ウム</t>
    </rPh>
    <phoneticPr fontId="2"/>
  </si>
  <si>
    <t>焼却あり</t>
    <rPh sb="0" eb="2">
      <t>ショウキャク</t>
    </rPh>
    <phoneticPr fontId="2"/>
  </si>
  <si>
    <t>焼却なし</t>
    <rPh sb="0" eb="2">
      <t>ショウキャク</t>
    </rPh>
    <phoneticPr fontId="2"/>
  </si>
  <si>
    <t>処理方式</t>
    <rPh sb="0" eb="4">
      <t>ショリホウシキ</t>
    </rPh>
    <phoneticPr fontId="2"/>
  </si>
  <si>
    <t>電力の排出係数</t>
    <rPh sb="0" eb="2">
      <t>デンリョク</t>
    </rPh>
    <rPh sb="3" eb="5">
      <t>ハイシュツ</t>
    </rPh>
    <rPh sb="5" eb="7">
      <t>ケイスウ</t>
    </rPh>
    <phoneticPr fontId="2"/>
  </si>
  <si>
    <r>
      <t xml:space="preserve"> 千m</t>
    </r>
    <r>
      <rPr>
        <b/>
        <vertAlign val="superscript"/>
        <sz val="11"/>
        <color theme="1"/>
        <rFont val="游ゴシック"/>
        <family val="3"/>
        <charset val="128"/>
        <scheme val="minor"/>
      </rPr>
      <t>3</t>
    </r>
    <r>
      <rPr>
        <b/>
        <sz val="11"/>
        <color theme="1"/>
        <rFont val="游ゴシック"/>
        <family val="3"/>
        <charset val="128"/>
        <scheme val="minor"/>
      </rPr>
      <t>/年</t>
    </r>
    <rPh sb="1" eb="2">
      <t>セン</t>
    </rPh>
    <rPh sb="5" eb="6">
      <t>ネン</t>
    </rPh>
    <phoneticPr fontId="2"/>
  </si>
  <si>
    <r>
      <t>t-CO</t>
    </r>
    <r>
      <rPr>
        <b/>
        <vertAlign val="subscript"/>
        <sz val="11"/>
        <color theme="1"/>
        <rFont val="游ゴシック"/>
        <family val="3"/>
        <charset val="128"/>
        <scheme val="minor"/>
      </rPr>
      <t>2</t>
    </r>
    <r>
      <rPr>
        <b/>
        <sz val="11"/>
        <color theme="1"/>
        <rFont val="游ゴシック"/>
        <family val="3"/>
        <charset val="128"/>
        <scheme val="minor"/>
      </rPr>
      <t>/千kWh</t>
    </r>
    <rPh sb="6" eb="7">
      <t>セン</t>
    </rPh>
    <phoneticPr fontId="2"/>
  </si>
  <si>
    <t>20.循環式消化脱窒型膜分離活性汚泥法</t>
    <phoneticPr fontId="2"/>
  </si>
  <si>
    <t>21.その他処理方法</t>
    <phoneticPr fontId="2"/>
  </si>
  <si>
    <t xml:space="preserve"> t-CO₂/千Nm³</t>
    <phoneticPr fontId="2"/>
  </si>
  <si>
    <t>消費量等（年間）</t>
    <rPh sb="0" eb="3">
      <t>ショウヒリョウ</t>
    </rPh>
    <rPh sb="3" eb="4">
      <t>トウ</t>
    </rPh>
    <rPh sb="5" eb="7">
      <t>ネンカン</t>
    </rPh>
    <phoneticPr fontId="5"/>
  </si>
  <si>
    <t>-</t>
    <phoneticPr fontId="2"/>
  </si>
  <si>
    <t>処理方式:</t>
    <rPh sb="0" eb="4">
      <t>ショリホウシキ</t>
    </rPh>
    <phoneticPr fontId="2"/>
  </si>
  <si>
    <t>入力又はリストから選択</t>
    <rPh sb="0" eb="2">
      <t>ニュウリョク</t>
    </rPh>
    <rPh sb="2" eb="3">
      <t>マタ</t>
    </rPh>
    <rPh sb="9" eb="11">
      <t>センタク</t>
    </rPh>
    <phoneticPr fontId="2"/>
  </si>
  <si>
    <t>自動計算</t>
    <rPh sb="0" eb="4">
      <t>ジドウケイサン</t>
    </rPh>
    <phoneticPr fontId="2"/>
  </si>
  <si>
    <t>固定</t>
    <rPh sb="0" eb="2">
      <t>コテイ</t>
    </rPh>
    <phoneticPr fontId="5"/>
  </si>
  <si>
    <t>対象</t>
    <rPh sb="0" eb="2">
      <t>タイショウ</t>
    </rPh>
    <phoneticPr fontId="2"/>
  </si>
  <si>
    <t>処理場消費電力量</t>
    <rPh sb="0" eb="3">
      <t>ショリジョウ</t>
    </rPh>
    <rPh sb="3" eb="5">
      <t>ショウヒ</t>
    </rPh>
    <rPh sb="5" eb="7">
      <t>デンリョク</t>
    </rPh>
    <rPh sb="7" eb="8">
      <t>リョウ</t>
    </rPh>
    <phoneticPr fontId="2"/>
  </si>
  <si>
    <t>千kWh/年</t>
    <rPh sb="0" eb="1">
      <t>セン</t>
    </rPh>
    <rPh sb="5" eb="6">
      <t>ネン</t>
    </rPh>
    <phoneticPr fontId="2"/>
  </si>
  <si>
    <t>削減率</t>
    <rPh sb="0" eb="3">
      <t>サクゲンリツ</t>
    </rPh>
    <phoneticPr fontId="2"/>
  </si>
  <si>
    <t xml:space="preserve">% </t>
    <phoneticPr fontId="2"/>
  </si>
  <si>
    <t>※本業務におけるアンケート調査結果より</t>
    <rPh sb="1" eb="4">
      <t>ホンギョウム</t>
    </rPh>
    <rPh sb="13" eb="15">
      <t>チョウサ</t>
    </rPh>
    <rPh sb="15" eb="17">
      <t>ケッカ</t>
    </rPh>
    <phoneticPr fontId="2"/>
  </si>
  <si>
    <t>導入割合</t>
    <rPh sb="0" eb="2">
      <t>ドウニュウ</t>
    </rPh>
    <rPh sb="2" eb="4">
      <t>ワリアイ</t>
    </rPh>
    <phoneticPr fontId="2"/>
  </si>
  <si>
    <t>%</t>
    <phoneticPr fontId="2"/>
  </si>
  <si>
    <t>※一部系列、一部機器のみ対策を行う場合はその対策導入割合を入力してください。</t>
    <rPh sb="1" eb="3">
      <t>イチブ</t>
    </rPh>
    <rPh sb="3" eb="5">
      <t>ケイレツ</t>
    </rPh>
    <rPh sb="6" eb="10">
      <t>イチブキキ</t>
    </rPh>
    <rPh sb="12" eb="14">
      <t>タイサク</t>
    </rPh>
    <rPh sb="15" eb="16">
      <t>オコナ</t>
    </rPh>
    <rPh sb="17" eb="19">
      <t>バアイ</t>
    </rPh>
    <rPh sb="22" eb="24">
      <t>タイサク</t>
    </rPh>
    <rPh sb="24" eb="26">
      <t>ドウニュウ</t>
    </rPh>
    <rPh sb="26" eb="28">
      <t>ワリアイ</t>
    </rPh>
    <rPh sb="29" eb="31">
      <t>ニュウリョク</t>
    </rPh>
    <phoneticPr fontId="2"/>
  </si>
  <si>
    <t>消費電力量削減量</t>
    <rPh sb="0" eb="2">
      <t>ショウヒ</t>
    </rPh>
    <rPh sb="2" eb="4">
      <t>デンリョク</t>
    </rPh>
    <rPh sb="4" eb="5">
      <t>リョウ</t>
    </rPh>
    <rPh sb="5" eb="8">
      <t>サクゲンリョウ</t>
    </rPh>
    <phoneticPr fontId="2"/>
  </si>
  <si>
    <t>t-CO₂/千kWh</t>
    <phoneticPr fontId="2"/>
  </si>
  <si>
    <t>温室効果ガス削減量</t>
    <rPh sb="0" eb="4">
      <t>オンシツコウカ</t>
    </rPh>
    <rPh sb="6" eb="9">
      <t>サクゲンリョウ</t>
    </rPh>
    <phoneticPr fontId="2"/>
  </si>
  <si>
    <t>下記、緑色のセルに実態に合わせて数値を入力してください。</t>
    <rPh sb="0" eb="2">
      <t>カキ</t>
    </rPh>
    <rPh sb="3" eb="4">
      <t>ミドリ</t>
    </rPh>
    <rPh sb="4" eb="5">
      <t>イロ</t>
    </rPh>
    <rPh sb="9" eb="11">
      <t>ジッタイ</t>
    </rPh>
    <rPh sb="12" eb="13">
      <t>ア</t>
    </rPh>
    <rPh sb="16" eb="18">
      <t>スウチ</t>
    </rPh>
    <rPh sb="19" eb="21">
      <t>ニュウリョク</t>
    </rPh>
    <phoneticPr fontId="2"/>
  </si>
  <si>
    <t xml:space="preserve">     全て行う場合は100%です。</t>
    <rPh sb="5" eb="6">
      <t>スベ</t>
    </rPh>
    <rPh sb="7" eb="8">
      <t>オコナ</t>
    </rPh>
    <rPh sb="9" eb="11">
      <t>バアイ</t>
    </rPh>
    <phoneticPr fontId="2"/>
  </si>
  <si>
    <t>OD法の処理場で流入比率が低い処理場において曝気装置の間欠運転ができる可能性があります。</t>
    <rPh sb="2" eb="3">
      <t>ホウ</t>
    </rPh>
    <rPh sb="4" eb="7">
      <t>ショリジョウ</t>
    </rPh>
    <rPh sb="8" eb="10">
      <t>リュウニュウ</t>
    </rPh>
    <rPh sb="10" eb="12">
      <t>ヒリツ</t>
    </rPh>
    <rPh sb="13" eb="14">
      <t>ヒク</t>
    </rPh>
    <rPh sb="15" eb="18">
      <t>ショリジョウ</t>
    </rPh>
    <rPh sb="22" eb="26">
      <t>バッキソウチ</t>
    </rPh>
    <rPh sb="27" eb="29">
      <t>カンケツ</t>
    </rPh>
    <rPh sb="29" eb="31">
      <t>ウンテン</t>
    </rPh>
    <rPh sb="35" eb="38">
      <t>カノウセイ</t>
    </rPh>
    <phoneticPr fontId="2"/>
  </si>
  <si>
    <t>黄色のセルが温室効果ガス削減量になります。</t>
    <rPh sb="0" eb="2">
      <t>キイロ</t>
    </rPh>
    <rPh sb="6" eb="8">
      <t>オンシツ</t>
    </rPh>
    <rPh sb="8" eb="10">
      <t>コウカ</t>
    </rPh>
    <rPh sb="12" eb="15">
      <t>サクゲンリョウ</t>
    </rPh>
    <phoneticPr fontId="2"/>
  </si>
  <si>
    <t>対策内容</t>
    <rPh sb="0" eb="2">
      <t>タイサク</t>
    </rPh>
    <rPh sb="2" eb="4">
      <t>ナイヨウ</t>
    </rPh>
    <phoneticPr fontId="2"/>
  </si>
  <si>
    <t>流入比率に応じた機械撹拌式曝気装置の間欠運転</t>
    <phoneticPr fontId="2"/>
  </si>
  <si>
    <t>対策による
温室効果ガス削減量</t>
    <rPh sb="0" eb="2">
      <t>タイサク</t>
    </rPh>
    <phoneticPr fontId="2"/>
  </si>
  <si>
    <t>対策No.1</t>
  </si>
  <si>
    <t>・水処理対策リスト</t>
    <rPh sb="1" eb="4">
      <t>ミズショリ</t>
    </rPh>
    <rPh sb="4" eb="6">
      <t>タイサク</t>
    </rPh>
    <phoneticPr fontId="2"/>
  </si>
  <si>
    <t>対策を検討する場合は下記に"○"を入力</t>
    <rPh sb="0" eb="2">
      <t>タイサク</t>
    </rPh>
    <rPh sb="3" eb="5">
      <t>ケントウ</t>
    </rPh>
    <rPh sb="7" eb="9">
      <t>バアイ</t>
    </rPh>
    <rPh sb="10" eb="12">
      <t>カキ</t>
    </rPh>
    <rPh sb="17" eb="19">
      <t>ニュウリョク</t>
    </rPh>
    <phoneticPr fontId="2"/>
  </si>
  <si>
    <t>　　各対策の導入効果については必ず着色部のセルのリンクから各対策入力シートにアクセスをして必要情報を記入してください。</t>
    <rPh sb="2" eb="5">
      <t>カクタイサク</t>
    </rPh>
    <rPh sb="6" eb="8">
      <t>ドウニュウ</t>
    </rPh>
    <rPh sb="8" eb="10">
      <t>コウカ</t>
    </rPh>
    <rPh sb="15" eb="16">
      <t>カナラ</t>
    </rPh>
    <rPh sb="17" eb="19">
      <t>チャクショク</t>
    </rPh>
    <rPh sb="19" eb="20">
      <t>ブ</t>
    </rPh>
    <rPh sb="29" eb="30">
      <t>カク</t>
    </rPh>
    <rPh sb="30" eb="32">
      <t>タイサク</t>
    </rPh>
    <rPh sb="32" eb="34">
      <t>ニュウリョク</t>
    </rPh>
    <phoneticPr fontId="2"/>
  </si>
  <si>
    <t>対策
番号</t>
    <rPh sb="0" eb="2">
      <t>タイサク</t>
    </rPh>
    <rPh sb="3" eb="5">
      <t>バンゴウ</t>
    </rPh>
    <phoneticPr fontId="2"/>
  </si>
  <si>
    <t>対策No.2</t>
  </si>
  <si>
    <t>自動制御をもちいた運転管理の導入</t>
    <rPh sb="0" eb="2">
      <t>ジドウ</t>
    </rPh>
    <rPh sb="2" eb="4">
      <t>セイギョ</t>
    </rPh>
    <rPh sb="9" eb="11">
      <t>ウンテン</t>
    </rPh>
    <rPh sb="11" eb="13">
      <t>カンリ</t>
    </rPh>
    <rPh sb="14" eb="16">
      <t>ドウニュウ</t>
    </rPh>
    <phoneticPr fontId="2"/>
  </si>
  <si>
    <t>※「公財）日本下水道新技術機構　オキシデーションディッチ法の省エネ技術に関する技術資料より」</t>
    <rPh sb="2" eb="4">
      <t>コウザイ</t>
    </rPh>
    <rPh sb="5" eb="10">
      <t>ニホンゲスイドウ</t>
    </rPh>
    <rPh sb="10" eb="13">
      <t>シンギジュツ</t>
    </rPh>
    <rPh sb="13" eb="15">
      <t>キコウ</t>
    </rPh>
    <rPh sb="28" eb="29">
      <t>ホウ</t>
    </rPh>
    <rPh sb="30" eb="31">
      <t>ショウ</t>
    </rPh>
    <rPh sb="33" eb="35">
      <t>ギジュツ</t>
    </rPh>
    <rPh sb="36" eb="37">
      <t>カン</t>
    </rPh>
    <rPh sb="39" eb="41">
      <t>ギジュツ</t>
    </rPh>
    <rPh sb="41" eb="43">
      <t>シリョウ</t>
    </rPh>
    <phoneticPr fontId="2"/>
  </si>
  <si>
    <t>・水処理対策No.1 流入比率に応じた機械撹拌式曝気装置の間欠運転</t>
    <rPh sb="1" eb="4">
      <t>ミズショリ</t>
    </rPh>
    <rPh sb="4" eb="6">
      <t>タイサク</t>
    </rPh>
    <rPh sb="11" eb="13">
      <t>リュウニュウ</t>
    </rPh>
    <rPh sb="13" eb="15">
      <t>ヒリツ</t>
    </rPh>
    <rPh sb="16" eb="17">
      <t>オウ</t>
    </rPh>
    <rPh sb="19" eb="23">
      <t>キカイカクハン</t>
    </rPh>
    <rPh sb="23" eb="24">
      <t>シキ</t>
    </rPh>
    <rPh sb="24" eb="26">
      <t>バッキ</t>
    </rPh>
    <rPh sb="26" eb="28">
      <t>ソウチ</t>
    </rPh>
    <rPh sb="29" eb="31">
      <t>カンケツ</t>
    </rPh>
    <rPh sb="31" eb="33">
      <t>ウンテン</t>
    </rPh>
    <phoneticPr fontId="2"/>
  </si>
  <si>
    <t>・水処理対策No.2 自動制御をもちいた運転管理の導入</t>
    <rPh sb="1" eb="4">
      <t>ミズショリ</t>
    </rPh>
    <rPh sb="4" eb="6">
      <t>タイサク</t>
    </rPh>
    <phoneticPr fontId="2"/>
  </si>
  <si>
    <t>【B－DASH】ICTを活用した効率的な硝化運転制御の実用化に関する技術の導入</t>
    <rPh sb="37" eb="39">
      <t>ドウニュウ</t>
    </rPh>
    <phoneticPr fontId="2"/>
  </si>
  <si>
    <t>制御方法</t>
    <rPh sb="0" eb="2">
      <t>セイギョ</t>
    </rPh>
    <rPh sb="2" eb="4">
      <t>ホウホウ</t>
    </rPh>
    <phoneticPr fontId="2"/>
  </si>
  <si>
    <t>風量一定</t>
    <rPh sb="0" eb="2">
      <t>フウリョウ</t>
    </rPh>
    <rPh sb="2" eb="4">
      <t>イッテイ</t>
    </rPh>
    <phoneticPr fontId="2"/>
  </si>
  <si>
    <t>DO一定制御</t>
    <rPh sb="2" eb="4">
      <t>イッテイ</t>
    </rPh>
    <rPh sb="4" eb="6">
      <t>セイギョ</t>
    </rPh>
    <phoneticPr fontId="2"/>
  </si>
  <si>
    <t>B－DASH導入</t>
    <rPh sb="6" eb="8">
      <t>ドウニュウ</t>
    </rPh>
    <phoneticPr fontId="2"/>
  </si>
  <si>
    <t>10000m³</t>
    <phoneticPr fontId="2"/>
  </si>
  <si>
    <t>50000m³</t>
    <phoneticPr fontId="2"/>
  </si>
  <si>
    <t>100000m³</t>
    <phoneticPr fontId="2"/>
  </si>
  <si>
    <t>循環法</t>
    <rPh sb="0" eb="3">
      <t>ジュンカンホウ</t>
    </rPh>
    <phoneticPr fontId="2"/>
  </si>
  <si>
    <t>消費電力量
[kWh/日］</t>
    <rPh sb="0" eb="2">
      <t>ショウヒ</t>
    </rPh>
    <rPh sb="2" eb="5">
      <t>デンリョクリョウ</t>
    </rPh>
    <rPh sb="11" eb="12">
      <t>ニチ</t>
    </rPh>
    <phoneticPr fontId="2"/>
  </si>
  <si>
    <t>日最大
流入水量</t>
    <rPh sb="0" eb="3">
      <t>ニチサイダイ</t>
    </rPh>
    <rPh sb="4" eb="6">
      <t>リュウニュウ</t>
    </rPh>
    <rPh sb="6" eb="8">
      <t>スイリョウ</t>
    </rPh>
    <phoneticPr fontId="2"/>
  </si>
  <si>
    <t>送風機設備の消費電力量</t>
    <rPh sb="0" eb="3">
      <t>ソウフウキ</t>
    </rPh>
    <rPh sb="3" eb="5">
      <t>セツビ</t>
    </rPh>
    <rPh sb="6" eb="8">
      <t>ショウヒ</t>
    </rPh>
    <rPh sb="8" eb="11">
      <t>デンリョクリョウ</t>
    </rPh>
    <phoneticPr fontId="2"/>
  </si>
  <si>
    <t>標準法、高度処理、その他水処理</t>
    <rPh sb="0" eb="3">
      <t>ヒョウジュンホウ</t>
    </rPh>
    <rPh sb="4" eb="8">
      <t>コウドショリ</t>
    </rPh>
    <rPh sb="11" eb="12">
      <t>タ</t>
    </rPh>
    <rPh sb="12" eb="15">
      <t>ミズショリ</t>
    </rPh>
    <phoneticPr fontId="2"/>
  </si>
  <si>
    <t>※下記表から最も適合する削減率を選択してください。</t>
    <rPh sb="1" eb="3">
      <t>カキ</t>
    </rPh>
    <rPh sb="3" eb="4">
      <t>ヒョウ</t>
    </rPh>
    <rPh sb="6" eb="7">
      <t>モット</t>
    </rPh>
    <rPh sb="8" eb="10">
      <t>テキゴウ</t>
    </rPh>
    <rPh sb="12" eb="15">
      <t>サクゲンリツ</t>
    </rPh>
    <rPh sb="16" eb="18">
      <t>センタク</t>
    </rPh>
    <phoneticPr fontId="2"/>
  </si>
  <si>
    <t>本技術導入による削減率</t>
    <rPh sb="0" eb="3">
      <t>ホンギジュツ</t>
    </rPh>
    <rPh sb="3" eb="5">
      <t>ドウニュウ</t>
    </rPh>
    <rPh sb="8" eb="11">
      <t>サクゲンリツ</t>
    </rPh>
    <phoneticPr fontId="2"/>
  </si>
  <si>
    <t>検討技術の詳細は「ICTを活用した効率的な硝化運転制御の実用化に関する技術実証事業」におけるガイドラインを参照してください</t>
    <rPh sb="0" eb="2">
      <t>ケントウ</t>
    </rPh>
    <rPh sb="2" eb="4">
      <t>ギジュツ</t>
    </rPh>
    <rPh sb="5" eb="7">
      <t>ショウサイ</t>
    </rPh>
    <rPh sb="53" eb="55">
      <t>サンショウ</t>
    </rPh>
    <phoneticPr fontId="2"/>
  </si>
  <si>
    <t>検討技術の詳細は「公財）日本下水道新技術機構　オキシデーションディッチ法の省エネ技術に関する技術資料」を参照してください</t>
    <rPh sb="0" eb="2">
      <t>ケントウ</t>
    </rPh>
    <rPh sb="2" eb="4">
      <t>ギジュツ</t>
    </rPh>
    <rPh sb="5" eb="7">
      <t>ショウサイ</t>
    </rPh>
    <rPh sb="52" eb="54">
      <t>サンショウ</t>
    </rPh>
    <phoneticPr fontId="2"/>
  </si>
  <si>
    <t>高効率ブロワの導入(磁気浮上式ターボブロア)</t>
    <rPh sb="0" eb="3">
      <t>コウコウリツ</t>
    </rPh>
    <rPh sb="7" eb="9">
      <t>ドウニュウ</t>
    </rPh>
    <rPh sb="10" eb="14">
      <t>ジキフジョウ</t>
    </rPh>
    <rPh sb="14" eb="15">
      <t>シキ</t>
    </rPh>
    <phoneticPr fontId="2"/>
  </si>
  <si>
    <t>検討技術の詳細は「下水道における地球温暖化対策マニュアル 参-8」を参照してください</t>
    <rPh sb="0" eb="2">
      <t>ケントウ</t>
    </rPh>
    <rPh sb="2" eb="4">
      <t>ギジュツ</t>
    </rPh>
    <rPh sb="5" eb="7">
      <t>ショウサイ</t>
    </rPh>
    <rPh sb="9" eb="12">
      <t>ゲスイドウ</t>
    </rPh>
    <rPh sb="16" eb="21">
      <t>チキュウオンダンカ</t>
    </rPh>
    <rPh sb="21" eb="23">
      <t>タイサク</t>
    </rPh>
    <rPh sb="29" eb="30">
      <t>サン</t>
    </rPh>
    <rPh sb="34" eb="36">
      <t>サンショウ</t>
    </rPh>
    <phoneticPr fontId="2"/>
  </si>
  <si>
    <t>省エネ技術</t>
    <rPh sb="0" eb="1">
      <t>ショウ</t>
    </rPh>
    <rPh sb="3" eb="5">
      <t>ギジュツ</t>
    </rPh>
    <phoneticPr fontId="2"/>
  </si>
  <si>
    <t>従来技術</t>
    <rPh sb="0" eb="2">
      <t>ジュウライ</t>
    </rPh>
    <rPh sb="2" eb="4">
      <t>ギジュツ</t>
    </rPh>
    <phoneticPr fontId="2"/>
  </si>
  <si>
    <t>消費電力量
(kWh/日)</t>
    <rPh sb="0" eb="2">
      <t>ショウヒ</t>
    </rPh>
    <rPh sb="2" eb="5">
      <t>デンリョクリョウ</t>
    </rPh>
    <rPh sb="11" eb="12">
      <t>ニチ</t>
    </rPh>
    <phoneticPr fontId="2"/>
  </si>
  <si>
    <t>・削減効果出典元 下水道における地球温暖化対策マニュアル 参-8より</t>
    <rPh sb="1" eb="5">
      <t>サクゲンコウカ</t>
    </rPh>
    <rPh sb="5" eb="8">
      <t>シュッテンモト</t>
    </rPh>
    <phoneticPr fontId="2"/>
  </si>
  <si>
    <t>磁気浮上
単段ターボ</t>
    <rPh sb="0" eb="2">
      <t>ジキ</t>
    </rPh>
    <rPh sb="2" eb="4">
      <t>フジョウ</t>
    </rPh>
    <rPh sb="5" eb="7">
      <t>タンダン</t>
    </rPh>
    <phoneticPr fontId="2"/>
  </si>
  <si>
    <t>歯車増速
単段ターボ</t>
    <rPh sb="0" eb="2">
      <t>ハグルマ</t>
    </rPh>
    <rPh sb="2" eb="3">
      <t>ゾウ</t>
    </rPh>
    <rPh sb="5" eb="6">
      <t>タン</t>
    </rPh>
    <rPh sb="6" eb="7">
      <t>ダン</t>
    </rPh>
    <phoneticPr fontId="2"/>
  </si>
  <si>
    <t>従来型
多段ターボ</t>
    <rPh sb="0" eb="2">
      <t>ジュウライ</t>
    </rPh>
    <rPh sb="2" eb="3">
      <t>ガタ</t>
    </rPh>
    <rPh sb="4" eb="6">
      <t>タダン</t>
    </rPh>
    <phoneticPr fontId="2"/>
  </si>
  <si>
    <t>削減率(%)</t>
    <rPh sb="0" eb="2">
      <t>サクゲン</t>
    </rPh>
    <rPh sb="2" eb="3">
      <t>リツ</t>
    </rPh>
    <phoneticPr fontId="2"/>
  </si>
  <si>
    <t>・水処理対策No.3 高効率ブロワの導入(磁気浮上式ターボブロア)</t>
    <rPh sb="1" eb="4">
      <t>ミズショリ</t>
    </rPh>
    <rPh sb="4" eb="6">
      <t>タイサク</t>
    </rPh>
    <phoneticPr fontId="2"/>
  </si>
  <si>
    <t>対策No.3</t>
  </si>
  <si>
    <t xml:space="preserve">       各対策の導入効果は目安値であり、実際の導入に当たっては詳細な検討を必要とします。</t>
    <rPh sb="7" eb="8">
      <t>カク</t>
    </rPh>
    <rPh sb="8" eb="10">
      <t>タイサク</t>
    </rPh>
    <rPh sb="11" eb="15">
      <t>ドウニュウコウカ</t>
    </rPh>
    <rPh sb="16" eb="18">
      <t>メヤス</t>
    </rPh>
    <rPh sb="18" eb="19">
      <t>チ</t>
    </rPh>
    <rPh sb="23" eb="25">
      <t>ジッサイ</t>
    </rPh>
    <rPh sb="26" eb="28">
      <t>ドウニュウ</t>
    </rPh>
    <rPh sb="29" eb="30">
      <t>ア</t>
    </rPh>
    <rPh sb="34" eb="36">
      <t>ショウサイ</t>
    </rPh>
    <rPh sb="37" eb="39">
      <t>ケントウ</t>
    </rPh>
    <rPh sb="40" eb="42">
      <t>ヒツヨウ</t>
    </rPh>
    <phoneticPr fontId="2"/>
  </si>
  <si>
    <t>標準法、高度処理、その他水処理</t>
    <rPh sb="0" eb="3">
      <t>ヒョウジュンホウ</t>
    </rPh>
    <rPh sb="4" eb="8">
      <t>コウドショリ</t>
    </rPh>
    <rPh sb="11" eb="12">
      <t>タ</t>
    </rPh>
    <rPh sb="12" eb="15">
      <t>ミズショリ</t>
    </rPh>
    <phoneticPr fontId="2"/>
  </si>
  <si>
    <t>微細気泡散気装置等の導入による酸素移動効率の上昇</t>
    <rPh sb="0" eb="2">
      <t>ビサイ</t>
    </rPh>
    <rPh sb="2" eb="4">
      <t>キホウ</t>
    </rPh>
    <rPh sb="4" eb="8">
      <t>サンキソウチ</t>
    </rPh>
    <rPh sb="8" eb="9">
      <t>トウ</t>
    </rPh>
    <rPh sb="10" eb="12">
      <t>ドウニュウ</t>
    </rPh>
    <rPh sb="15" eb="17">
      <t>サンソ</t>
    </rPh>
    <rPh sb="17" eb="21">
      <t>イドウコウリツ</t>
    </rPh>
    <rPh sb="22" eb="24">
      <t>ジョウショウ</t>
    </rPh>
    <phoneticPr fontId="2"/>
  </si>
  <si>
    <t>・水処理対策No.4 微細気泡散気装置等の導入による酸素移動効率の上昇</t>
    <rPh sb="1" eb="4">
      <t>ミズショリ</t>
    </rPh>
    <rPh sb="4" eb="6">
      <t>タイサク</t>
    </rPh>
    <phoneticPr fontId="2"/>
  </si>
  <si>
    <t>検討技術の詳細は「下水道における地球温暖化対策マニュアル 参-6」を参照してください</t>
    <rPh sb="0" eb="2">
      <t>ケントウ</t>
    </rPh>
    <rPh sb="2" eb="4">
      <t>ギジュツ</t>
    </rPh>
    <rPh sb="5" eb="7">
      <t>ショウサイ</t>
    </rPh>
    <rPh sb="9" eb="12">
      <t>ゲスイドウ</t>
    </rPh>
    <rPh sb="16" eb="21">
      <t>チキュウオンダンカ</t>
    </rPh>
    <rPh sb="21" eb="23">
      <t>タイサク</t>
    </rPh>
    <rPh sb="29" eb="30">
      <t>サン</t>
    </rPh>
    <rPh sb="34" eb="36">
      <t>サンショウ</t>
    </rPh>
    <phoneticPr fontId="2"/>
  </si>
  <si>
    <t>・削減効果出典元 下水道における地球温暖化対策マニュアル 参-6より</t>
    <rPh sb="1" eb="5">
      <t>サクゲンコウカ</t>
    </rPh>
    <rPh sb="5" eb="8">
      <t>シュッテンモト</t>
    </rPh>
    <phoneticPr fontId="2"/>
  </si>
  <si>
    <t>※削減率はチャンピオンデータですので留意が必要です。</t>
    <rPh sb="1" eb="4">
      <t>サクゲンリツ</t>
    </rPh>
    <rPh sb="18" eb="20">
      <t>リュウイ</t>
    </rPh>
    <rPh sb="21" eb="23">
      <t>ヒツヨウ</t>
    </rPh>
    <phoneticPr fontId="2"/>
  </si>
  <si>
    <t>無酸素槽・嫌気槽撹拌機を省エネ型撹拌機へ変更</t>
    <rPh sb="0" eb="3">
      <t>ムサンソ</t>
    </rPh>
    <rPh sb="3" eb="4">
      <t>ソウ</t>
    </rPh>
    <rPh sb="5" eb="8">
      <t>ケンキソウ</t>
    </rPh>
    <rPh sb="8" eb="11">
      <t>カクハンキ</t>
    </rPh>
    <rPh sb="12" eb="13">
      <t>ショウ</t>
    </rPh>
    <rPh sb="15" eb="16">
      <t>ガタ</t>
    </rPh>
    <rPh sb="16" eb="19">
      <t>カクハンキ</t>
    </rPh>
    <rPh sb="20" eb="22">
      <t>ヘンコウ</t>
    </rPh>
    <phoneticPr fontId="2"/>
  </si>
  <si>
    <t>遠心濃縮機から低動力型への変更</t>
    <rPh sb="0" eb="2">
      <t>エンシン</t>
    </rPh>
    <rPh sb="2" eb="5">
      <t>ノウシュクキ</t>
    </rPh>
    <rPh sb="7" eb="11">
      <t>テイドウリョクガタ</t>
    </rPh>
    <rPh sb="13" eb="15">
      <t>ヘンコウ</t>
    </rPh>
    <phoneticPr fontId="2"/>
  </si>
  <si>
    <t>汚泥処理設備</t>
    <rPh sb="0" eb="4">
      <t>オデイショリ</t>
    </rPh>
    <rPh sb="4" eb="6">
      <t>セツビ</t>
    </rPh>
    <phoneticPr fontId="2"/>
  </si>
  <si>
    <t>遠心濃縮方式の処理場</t>
    <rPh sb="0" eb="2">
      <t>エンシン</t>
    </rPh>
    <rPh sb="2" eb="4">
      <t>ノウシュク</t>
    </rPh>
    <rPh sb="4" eb="6">
      <t>ホウシキ</t>
    </rPh>
    <rPh sb="7" eb="10">
      <t>ショリジョウ</t>
    </rPh>
    <phoneticPr fontId="2"/>
  </si>
  <si>
    <t>・汚泥処理対策No.1 遠心濃縮機から低動力型への変更</t>
    <rPh sb="1" eb="3">
      <t>オデイ</t>
    </rPh>
    <rPh sb="3" eb="5">
      <t>ショリ</t>
    </rPh>
    <rPh sb="5" eb="7">
      <t>タイサク</t>
    </rPh>
    <phoneticPr fontId="2"/>
  </si>
  <si>
    <t>適応条件</t>
    <rPh sb="0" eb="2">
      <t>テキオウ</t>
    </rPh>
    <rPh sb="2" eb="4">
      <t>ジョウケン</t>
    </rPh>
    <phoneticPr fontId="2"/>
  </si>
  <si>
    <t>適応条件</t>
    <rPh sb="0" eb="4">
      <t>テキオウジョウケン</t>
    </rPh>
    <phoneticPr fontId="2"/>
  </si>
  <si>
    <t>標準法、高度処理、その他水処理の処理場</t>
    <rPh sb="0" eb="3">
      <t>ヒョウジュンホウ</t>
    </rPh>
    <rPh sb="4" eb="8">
      <t>コウドショリ</t>
    </rPh>
    <rPh sb="11" eb="12">
      <t>タ</t>
    </rPh>
    <rPh sb="12" eb="15">
      <t>ミズショリ</t>
    </rPh>
    <rPh sb="16" eb="19">
      <t>ショリジョウ</t>
    </rPh>
    <phoneticPr fontId="2"/>
  </si>
  <si>
    <t>OD法の処理場</t>
    <rPh sb="2" eb="3">
      <t>ホウ</t>
    </rPh>
    <rPh sb="4" eb="7">
      <t>ショリジョウ</t>
    </rPh>
    <phoneticPr fontId="2"/>
  </si>
  <si>
    <t>遠心濃縮方式の処理場</t>
    <phoneticPr fontId="2"/>
  </si>
  <si>
    <t>機械濃縮設備の消費電力量</t>
    <rPh sb="0" eb="2">
      <t>キカイ</t>
    </rPh>
    <rPh sb="2" eb="4">
      <t>ノウシュク</t>
    </rPh>
    <rPh sb="4" eb="6">
      <t>セツビ</t>
    </rPh>
    <rPh sb="7" eb="9">
      <t>ショウヒ</t>
    </rPh>
    <rPh sb="9" eb="12">
      <t>デンリョクリョウ</t>
    </rPh>
    <phoneticPr fontId="2"/>
  </si>
  <si>
    <t>処理能力</t>
    <rPh sb="0" eb="4">
      <t>ショリノウリョク</t>
    </rPh>
    <phoneticPr fontId="2"/>
  </si>
  <si>
    <t>小規模
(10,000m³/日)</t>
    <rPh sb="0" eb="3">
      <t>ショウキボ</t>
    </rPh>
    <rPh sb="14" eb="15">
      <t>ニチ</t>
    </rPh>
    <phoneticPr fontId="2"/>
  </si>
  <si>
    <t>中規模
(40,000m³/日)</t>
    <rPh sb="0" eb="3">
      <t>チュウキボ</t>
    </rPh>
    <phoneticPr fontId="2"/>
  </si>
  <si>
    <t>大規模
(100,000m³/日)</t>
    <rPh sb="0" eb="3">
      <t>ダイキボ</t>
    </rPh>
    <phoneticPr fontId="2"/>
  </si>
  <si>
    <t>遠心⇒低動力型の
削減率(%)</t>
    <rPh sb="0" eb="2">
      <t>エンシン</t>
    </rPh>
    <rPh sb="3" eb="7">
      <t>テイドウリョクガタ</t>
    </rPh>
    <rPh sb="9" eb="12">
      <t>サクゲンリツ</t>
    </rPh>
    <phoneticPr fontId="2"/>
  </si>
  <si>
    <t>・削減効果出典元 下水道における地球温暖化対策マニュアル p55より（濃縮設備については焼却あり、高度処理においても同様の削減率)</t>
    <rPh sb="1" eb="5">
      <t>サクゲンコウカ</t>
    </rPh>
    <rPh sb="5" eb="8">
      <t>シュッテンモト</t>
    </rPh>
    <rPh sb="35" eb="37">
      <t>ノウシュク</t>
    </rPh>
    <rPh sb="37" eb="39">
      <t>セツビ</t>
    </rPh>
    <rPh sb="44" eb="46">
      <t>ショウキャク</t>
    </rPh>
    <rPh sb="49" eb="53">
      <t>コウドショリ</t>
    </rPh>
    <rPh sb="58" eb="60">
      <t>ドウヨウ</t>
    </rPh>
    <rPh sb="61" eb="64">
      <t>サクゲンリツ</t>
    </rPh>
    <phoneticPr fontId="2"/>
  </si>
  <si>
    <t>消化設備の無い処理場</t>
    <rPh sb="0" eb="2">
      <t>ショウカ</t>
    </rPh>
    <rPh sb="2" eb="4">
      <t>セツビ</t>
    </rPh>
    <rPh sb="5" eb="6">
      <t>ナ</t>
    </rPh>
    <rPh sb="7" eb="10">
      <t>ショリジョウ</t>
    </rPh>
    <phoneticPr fontId="2"/>
  </si>
  <si>
    <t>・削減効果出典元 下水道における地球温暖化対策マニュアル p55~56より（処理場の全体における削減率を算出した)</t>
    <rPh sb="1" eb="5">
      <t>サクゲンコウカ</t>
    </rPh>
    <rPh sb="5" eb="8">
      <t>シュッテンモト</t>
    </rPh>
    <rPh sb="38" eb="41">
      <t>ショリジョウ</t>
    </rPh>
    <rPh sb="42" eb="44">
      <t>ゼンタイ</t>
    </rPh>
    <rPh sb="48" eb="51">
      <t>サクゲンリツ</t>
    </rPh>
    <rPh sb="52" eb="54">
      <t>サンシュツ</t>
    </rPh>
    <phoneticPr fontId="2"/>
  </si>
  <si>
    <t>区分</t>
    <rPh sb="0" eb="2">
      <t>クブン</t>
    </rPh>
    <phoneticPr fontId="2"/>
  </si>
  <si>
    <t>焼却有</t>
    <rPh sb="0" eb="3">
      <t>ショウキャクアリ</t>
    </rPh>
    <phoneticPr fontId="2"/>
  </si>
  <si>
    <t>中規模(40,000m³/日）</t>
    <phoneticPr fontId="2"/>
  </si>
  <si>
    <t>大規模(10,000m³/日）</t>
    <phoneticPr fontId="2"/>
  </si>
  <si>
    <t>小規模(10,000m³/日)</t>
    <phoneticPr fontId="2"/>
  </si>
  <si>
    <t>高度処理</t>
    <rPh sb="0" eb="2">
      <t>コウド</t>
    </rPh>
    <rPh sb="2" eb="4">
      <t>ショリ</t>
    </rPh>
    <phoneticPr fontId="2"/>
  </si>
  <si>
    <t>ー</t>
  </si>
  <si>
    <t>削減率%</t>
    <rPh sb="0" eb="3">
      <t>サクゲンリツ</t>
    </rPh>
    <phoneticPr fontId="2"/>
  </si>
  <si>
    <t>～100,000m³/日</t>
    <rPh sb="11" eb="12">
      <t>ニチ</t>
    </rPh>
    <phoneticPr fontId="2"/>
  </si>
  <si>
    <t>100,000m³/日～</t>
    <rPh sb="9" eb="10">
      <t>ニチ</t>
    </rPh>
    <phoneticPr fontId="2"/>
  </si>
  <si>
    <t>適応区分目安</t>
    <rPh sb="0" eb="2">
      <t>テキオウ</t>
    </rPh>
    <rPh sb="2" eb="4">
      <t>クブン</t>
    </rPh>
    <rPh sb="4" eb="6">
      <t>メヤス</t>
    </rPh>
    <phoneticPr fontId="2"/>
  </si>
  <si>
    <t>消化設備の無い処理場</t>
    <rPh sb="0" eb="2">
      <t>ショウカ</t>
    </rPh>
    <rPh sb="2" eb="4">
      <t>セツビ</t>
    </rPh>
    <rPh sb="5" eb="6">
      <t>ナ</t>
    </rPh>
    <rPh sb="7" eb="10">
      <t>ショリジョウ</t>
    </rPh>
    <phoneticPr fontId="2"/>
  </si>
  <si>
    <t>処理場全体の消費電力量</t>
    <rPh sb="0" eb="3">
      <t>ショリジョウ</t>
    </rPh>
    <rPh sb="3" eb="5">
      <t>ゼンタイ</t>
    </rPh>
    <rPh sb="6" eb="8">
      <t>ショウヒ</t>
    </rPh>
    <rPh sb="8" eb="11">
      <t>デンリョクリョウ</t>
    </rPh>
    <phoneticPr fontId="2"/>
  </si>
  <si>
    <t>検討技術の詳細は「下水道における地球温暖化対策マニュアル p55,56」を参照してください</t>
    <rPh sb="0" eb="2">
      <t>ケントウ</t>
    </rPh>
    <rPh sb="2" eb="4">
      <t>ギジュツ</t>
    </rPh>
    <rPh sb="5" eb="7">
      <t>ショウサイ</t>
    </rPh>
    <rPh sb="9" eb="12">
      <t>ゲスイドウ</t>
    </rPh>
    <rPh sb="16" eb="21">
      <t>チキュウオンダンカ</t>
    </rPh>
    <rPh sb="21" eb="23">
      <t>タイサク</t>
    </rPh>
    <rPh sb="37" eb="39">
      <t>サンショウ</t>
    </rPh>
    <phoneticPr fontId="2"/>
  </si>
  <si>
    <t>検討技術の詳細は「下水道における地球温暖化対策マニュアル p55」を参照してください</t>
    <rPh sb="0" eb="2">
      <t>ケントウ</t>
    </rPh>
    <rPh sb="2" eb="4">
      <t>ギジュツ</t>
    </rPh>
    <rPh sb="5" eb="7">
      <t>ショウサイ</t>
    </rPh>
    <rPh sb="9" eb="12">
      <t>ゲスイドウ</t>
    </rPh>
    <rPh sb="16" eb="21">
      <t>チキュウオンダンカ</t>
    </rPh>
    <rPh sb="21" eb="23">
      <t>タイサク</t>
    </rPh>
    <rPh sb="34" eb="36">
      <t>サンショウ</t>
    </rPh>
    <phoneticPr fontId="2"/>
  </si>
  <si>
    <t>消化設備及び消化ガス発電の導入</t>
    <rPh sb="0" eb="2">
      <t>ショウカ</t>
    </rPh>
    <rPh sb="2" eb="4">
      <t>セツビ</t>
    </rPh>
    <rPh sb="4" eb="5">
      <t>オヨ</t>
    </rPh>
    <rPh sb="6" eb="8">
      <t>ショウカ</t>
    </rPh>
    <rPh sb="10" eb="12">
      <t>ハツデン</t>
    </rPh>
    <rPh sb="13" eb="15">
      <t>ドウニュウ</t>
    </rPh>
    <phoneticPr fontId="2"/>
  </si>
  <si>
    <t>・汚泥処理対策No.2 消化設備及び消化ガス発電の導入</t>
    <rPh sb="1" eb="3">
      <t>オデイ</t>
    </rPh>
    <rPh sb="3" eb="5">
      <t>ショリ</t>
    </rPh>
    <rPh sb="5" eb="7">
      <t>タイサク</t>
    </rPh>
    <phoneticPr fontId="2"/>
  </si>
  <si>
    <t>・汚泥処理対策リスト</t>
    <rPh sb="1" eb="3">
      <t>オデイ</t>
    </rPh>
    <rPh sb="3" eb="5">
      <t>ショリ</t>
    </rPh>
    <rPh sb="5" eb="7">
      <t>タイサク</t>
    </rPh>
    <phoneticPr fontId="2"/>
  </si>
  <si>
    <t>・削減効果出典元 下水処理場のエネルギー最適化に向けた省エネ技術導入マニュアル（案）  p92,94,96より</t>
    <rPh sb="1" eb="5">
      <t>サクゲンコウカ</t>
    </rPh>
    <rPh sb="5" eb="8">
      <t>シュッテンモト</t>
    </rPh>
    <phoneticPr fontId="2"/>
  </si>
  <si>
    <t>高効率型遠心脱水機</t>
    <rPh sb="0" eb="3">
      <t>コウコウリツ</t>
    </rPh>
    <rPh sb="3" eb="4">
      <t>ガタ</t>
    </rPh>
    <rPh sb="4" eb="9">
      <t>エンシンダッスイキ</t>
    </rPh>
    <phoneticPr fontId="2"/>
  </si>
  <si>
    <t>日最大汚水量</t>
    <rPh sb="0" eb="3">
      <t>ニチサイダイ</t>
    </rPh>
    <rPh sb="3" eb="6">
      <t>オスイリョウ</t>
    </rPh>
    <phoneticPr fontId="2"/>
  </si>
  <si>
    <t>3万m³/日</t>
    <rPh sb="1" eb="2">
      <t>マン</t>
    </rPh>
    <rPh sb="5" eb="6">
      <t>ニチ</t>
    </rPh>
    <phoneticPr fontId="2"/>
  </si>
  <si>
    <t>20万m³/日</t>
    <rPh sb="2" eb="3">
      <t>マン</t>
    </rPh>
    <rPh sb="6" eb="7">
      <t>ニチ</t>
    </rPh>
    <phoneticPr fontId="2"/>
  </si>
  <si>
    <t>直動型遠心脱水機</t>
    <rPh sb="0" eb="2">
      <t>チョクドウ</t>
    </rPh>
    <rPh sb="2" eb="3">
      <t>ガタ</t>
    </rPh>
    <rPh sb="3" eb="5">
      <t>エンシン</t>
    </rPh>
    <rPh sb="5" eb="8">
      <t>ダッスイキ</t>
    </rPh>
    <phoneticPr fontId="2"/>
  </si>
  <si>
    <t>省エネ型遠心脱水機</t>
    <rPh sb="0" eb="1">
      <t>ショウ</t>
    </rPh>
    <rPh sb="3" eb="4">
      <t>ガタ</t>
    </rPh>
    <rPh sb="4" eb="6">
      <t>エンシン</t>
    </rPh>
    <rPh sb="6" eb="9">
      <t>ダッスイキ</t>
    </rPh>
    <phoneticPr fontId="2"/>
  </si>
  <si>
    <t>既設脱水機</t>
    <rPh sb="0" eb="2">
      <t>キセツ</t>
    </rPh>
    <rPh sb="2" eb="5">
      <t>ダッスイキ</t>
    </rPh>
    <phoneticPr fontId="2"/>
  </si>
  <si>
    <t>導入脱水機</t>
    <rPh sb="0" eb="2">
      <t>ドウニュウ</t>
    </rPh>
    <rPh sb="2" eb="5">
      <t>ダッスイキ</t>
    </rPh>
    <phoneticPr fontId="2"/>
  </si>
  <si>
    <t>脱水設備の消費電力量</t>
    <rPh sb="0" eb="2">
      <t>ダッスイ</t>
    </rPh>
    <rPh sb="2" eb="4">
      <t>セツビ</t>
    </rPh>
    <rPh sb="5" eb="10">
      <t>ショウヒデンリョクリョウ</t>
    </rPh>
    <phoneticPr fontId="2"/>
  </si>
  <si>
    <t>高効率型2軸スクリューープレス脱水機</t>
    <rPh sb="0" eb="3">
      <t>コウコウリツ</t>
    </rPh>
    <rPh sb="3" eb="4">
      <t>ガタ</t>
    </rPh>
    <rPh sb="5" eb="6">
      <t>ジク</t>
    </rPh>
    <rPh sb="15" eb="18">
      <t>ダッスイキ</t>
    </rPh>
    <phoneticPr fontId="2"/>
  </si>
  <si>
    <t>遠心脱水機から高効率脱水機への変更</t>
    <rPh sb="0" eb="5">
      <t>エンシンダッスイキ</t>
    </rPh>
    <rPh sb="7" eb="10">
      <t>コウコウリツ</t>
    </rPh>
    <rPh sb="10" eb="13">
      <t>ダッスイキ</t>
    </rPh>
    <rPh sb="15" eb="17">
      <t>ヘンコウ</t>
    </rPh>
    <phoneticPr fontId="2"/>
  </si>
  <si>
    <t>遠心脱水方式の処理場</t>
    <rPh sb="0" eb="4">
      <t>エンシンダッスイ</t>
    </rPh>
    <rPh sb="4" eb="6">
      <t>ホウシキ</t>
    </rPh>
    <rPh sb="7" eb="10">
      <t>ショリジョウ</t>
    </rPh>
    <phoneticPr fontId="2"/>
  </si>
  <si>
    <t>・汚泥処理対策No.3 遠心脱水機から高効率脱水機への変更</t>
    <rPh sb="1" eb="3">
      <t>オデイ</t>
    </rPh>
    <rPh sb="3" eb="5">
      <t>ショリ</t>
    </rPh>
    <rPh sb="5" eb="7">
      <t>タイサク</t>
    </rPh>
    <phoneticPr fontId="2"/>
  </si>
  <si>
    <t>対策No.5</t>
  </si>
  <si>
    <t>・削減効果出典元 下水道における地球温暖化対策マニュアル p56より</t>
    <rPh sb="1" eb="5">
      <t>サクゲンコウカ</t>
    </rPh>
    <rPh sb="5" eb="8">
      <t>シュッテンモト</t>
    </rPh>
    <phoneticPr fontId="2"/>
  </si>
  <si>
    <t>撹拌機の消費電力量</t>
    <rPh sb="0" eb="3">
      <t>カクハンキ</t>
    </rPh>
    <rPh sb="4" eb="6">
      <t>ショウヒ</t>
    </rPh>
    <rPh sb="6" eb="9">
      <t>デンリョクリョウ</t>
    </rPh>
    <phoneticPr fontId="2"/>
  </si>
  <si>
    <t>※撹拌機の消費電力量が不明の場合は「消費電力量【千kWh/年】＝電動機容量【kW】×年間稼働時間【時/年】×撹拌機台数【台】×0.7」として簡易的に算出することができます。</t>
    <rPh sb="1" eb="4">
      <t>カクハンキ</t>
    </rPh>
    <rPh sb="5" eb="10">
      <t>ショウヒデンリョクリョウ</t>
    </rPh>
    <rPh sb="11" eb="13">
      <t>フメイ</t>
    </rPh>
    <rPh sb="14" eb="16">
      <t>バアイ</t>
    </rPh>
    <rPh sb="18" eb="20">
      <t>ショウヒ</t>
    </rPh>
    <rPh sb="20" eb="23">
      <t>デンリョクリョウ</t>
    </rPh>
    <rPh sb="24" eb="25">
      <t>セン</t>
    </rPh>
    <rPh sb="29" eb="30">
      <t>ネン</t>
    </rPh>
    <rPh sb="32" eb="37">
      <t>デンドウキヨウリョウ</t>
    </rPh>
    <rPh sb="42" eb="44">
      <t>ネンカン</t>
    </rPh>
    <rPh sb="44" eb="48">
      <t>カドウジカン</t>
    </rPh>
    <rPh sb="49" eb="50">
      <t>ジ</t>
    </rPh>
    <rPh sb="51" eb="52">
      <t>ネン</t>
    </rPh>
    <rPh sb="54" eb="59">
      <t>カクハンキダイスウ</t>
    </rPh>
    <rPh sb="60" eb="61">
      <t>ダイ</t>
    </rPh>
    <rPh sb="70" eb="73">
      <t>カンイテキ</t>
    </rPh>
    <rPh sb="74" eb="76">
      <t>サンシュツ</t>
    </rPh>
    <phoneticPr fontId="2"/>
  </si>
  <si>
    <t>・水処理対策No.5 無酸素槽・嫌気槽撹拌機を省エネ型撹拌機へ変更</t>
    <rPh sb="1" eb="4">
      <t>ミズショリ</t>
    </rPh>
    <rPh sb="4" eb="6">
      <t>タイサク</t>
    </rPh>
    <phoneticPr fontId="2"/>
  </si>
  <si>
    <t>・水処理対策No.6 【B－DASH】ICTを活用した効率的な硝化運転制御の実用化に関する技術の導入</t>
    <rPh sb="1" eb="4">
      <t>ミズショリ</t>
    </rPh>
    <rPh sb="4" eb="6">
      <t>タイサク</t>
    </rPh>
    <phoneticPr fontId="2"/>
  </si>
  <si>
    <t>対策No.6</t>
  </si>
  <si>
    <t>【B－DASH】DHSシステムを用いた水量変動追従型水処理技術</t>
    <phoneticPr fontId="2"/>
  </si>
  <si>
    <t>標準法</t>
    <rPh sb="0" eb="3">
      <t>ヒョウジュンホウ</t>
    </rPh>
    <phoneticPr fontId="2"/>
  </si>
  <si>
    <t>・水処理対策No.7 【B－DASH】DHSシステムを用いた水量変動追従型水処理技術</t>
    <rPh sb="1" eb="4">
      <t>ミズショリ</t>
    </rPh>
    <rPh sb="4" eb="6">
      <t>タイサク</t>
    </rPh>
    <phoneticPr fontId="2"/>
  </si>
  <si>
    <t>対策No.7</t>
  </si>
  <si>
    <t>検討技術の詳細は「DHSシステムを用いた水量変動追従型水処理技術実証事業」におけるガイドラインを参照してください</t>
    <rPh sb="0" eb="2">
      <t>ケントウ</t>
    </rPh>
    <rPh sb="2" eb="4">
      <t>ギジュツ</t>
    </rPh>
    <rPh sb="5" eb="7">
      <t>ショウサイ</t>
    </rPh>
    <rPh sb="48" eb="50">
      <t>サンショウ</t>
    </rPh>
    <phoneticPr fontId="2"/>
  </si>
  <si>
    <t>水処理設備消費電力量</t>
    <rPh sb="0" eb="3">
      <t>ミズショリ</t>
    </rPh>
    <rPh sb="3" eb="5">
      <t>セツビ</t>
    </rPh>
    <rPh sb="5" eb="7">
      <t>ショウヒ</t>
    </rPh>
    <rPh sb="7" eb="10">
      <t>デンリョクリョウ</t>
    </rPh>
    <phoneticPr fontId="2"/>
  </si>
  <si>
    <t>導入系水処理電力</t>
    <rPh sb="0" eb="3">
      <t>ドウニュウケイ</t>
    </rPh>
    <rPh sb="3" eb="6">
      <t>ミズショリ</t>
    </rPh>
    <rPh sb="6" eb="8">
      <t>デンリョク</t>
    </rPh>
    <phoneticPr fontId="2"/>
  </si>
  <si>
    <t>※主ポンプを除く</t>
    <rPh sb="1" eb="2">
      <t>シュ</t>
    </rPh>
    <rPh sb="6" eb="7">
      <t>ノゾ</t>
    </rPh>
    <phoneticPr fontId="2"/>
  </si>
  <si>
    <t>・本技術のイメージ</t>
    <rPh sb="1" eb="2">
      <t>ホン</t>
    </rPh>
    <rPh sb="2" eb="4">
      <t>ギジュツ</t>
    </rPh>
    <phoneticPr fontId="2"/>
  </si>
  <si>
    <t>千kWh/年</t>
    <phoneticPr fontId="2"/>
  </si>
  <si>
    <t>検討技術の詳細は「無曝気循環式水処理技術実証事業」におけるガイドラインを参照してください</t>
    <rPh sb="0" eb="2">
      <t>ケントウ</t>
    </rPh>
    <rPh sb="2" eb="4">
      <t>ギジュツ</t>
    </rPh>
    <rPh sb="5" eb="7">
      <t>ショウサイ</t>
    </rPh>
    <rPh sb="36" eb="38">
      <t>サンショウ</t>
    </rPh>
    <phoneticPr fontId="2"/>
  </si>
  <si>
    <t>・水処理対策No.8 【B－DASH】無曝気循環式水処理技術</t>
    <rPh sb="1" eb="4">
      <t>ミズショリ</t>
    </rPh>
    <rPh sb="4" eb="6">
      <t>タイサク</t>
    </rPh>
    <phoneticPr fontId="2"/>
  </si>
  <si>
    <t>対策No.8</t>
  </si>
  <si>
    <t>【B－DASH】無曝気循環式水処理技術</t>
    <phoneticPr fontId="2"/>
  </si>
  <si>
    <t>・水処理対策No.9 【B－DASH】超高効率固液分離技術</t>
    <rPh sb="1" eb="4">
      <t>ミズショリ</t>
    </rPh>
    <rPh sb="4" eb="6">
      <t>タイサク</t>
    </rPh>
    <phoneticPr fontId="2"/>
  </si>
  <si>
    <t>検討技術の詳細は「超高効率固液分離技術を用いたエネルギーマネジメントシステム技術実証事業」におけるガイドラインを参照してください</t>
    <rPh sb="0" eb="2">
      <t>ケントウ</t>
    </rPh>
    <rPh sb="2" eb="4">
      <t>ギジュツ</t>
    </rPh>
    <rPh sb="5" eb="7">
      <t>ショウサイ</t>
    </rPh>
    <rPh sb="56" eb="58">
      <t>サンショウ</t>
    </rPh>
    <phoneticPr fontId="2"/>
  </si>
  <si>
    <t>・削減効果出典元【B－DASH】超高効率固液分離技術を用いたエネルギーマネジメントシステム技術実証事業ガイドラインp205より</t>
    <rPh sb="1" eb="5">
      <t>サクゲンコウカ</t>
    </rPh>
    <rPh sb="5" eb="8">
      <t>シュッテンモト</t>
    </rPh>
    <phoneticPr fontId="2"/>
  </si>
  <si>
    <t>標準法、高度処理、その他の水処理</t>
    <rPh sb="0" eb="3">
      <t>ヒョウジュンホウ</t>
    </rPh>
    <rPh sb="4" eb="8">
      <t>コウドショリ</t>
    </rPh>
    <rPh sb="11" eb="12">
      <t>タ</t>
    </rPh>
    <rPh sb="13" eb="16">
      <t>ミズショリ</t>
    </rPh>
    <phoneticPr fontId="2"/>
  </si>
  <si>
    <t>・削減効果出典元【B－DASH】DHSシステムを用いた水量変動追従型水処理技術実証事業ガイドラインp42より</t>
    <rPh sb="1" eb="5">
      <t>サクゲンコウカ</t>
    </rPh>
    <rPh sb="5" eb="8">
      <t>シュッテンモト</t>
    </rPh>
    <phoneticPr fontId="2"/>
  </si>
  <si>
    <t>・削減効果出典元【B－DASH】DHSシステムを用いた水量変動追従型水処理技術実証事業ガイドラインp32より</t>
    <rPh sb="1" eb="5">
      <t>サクゲンコウカ</t>
    </rPh>
    <rPh sb="5" eb="8">
      <t>シュッテンモト</t>
    </rPh>
    <phoneticPr fontId="2"/>
  </si>
  <si>
    <t>A2O法</t>
    <rPh sb="3" eb="4">
      <t>ホウ</t>
    </rPh>
    <phoneticPr fontId="2"/>
  </si>
  <si>
    <t>【B－DASH】超高効率固液分離技術</t>
    <phoneticPr fontId="2"/>
  </si>
  <si>
    <t>対策No.9</t>
  </si>
  <si>
    <t>・削減効果出典元【B－DASH】ICTを活用した効率的な硝化運転制御の実用化に関する技術実証事業ガイドラインp125,126より</t>
    <rPh sb="1" eb="5">
      <t>サクゲンコウカ</t>
    </rPh>
    <rPh sb="5" eb="8">
      <t>シュッテンモト</t>
    </rPh>
    <phoneticPr fontId="2"/>
  </si>
  <si>
    <t>検討技術の詳細は「 脱水・燃焼・発電を全体最適化した革新的下水汚泥エネルギー転換システム」を参照してください</t>
    <rPh sb="0" eb="2">
      <t>ケントウ</t>
    </rPh>
    <rPh sb="2" eb="4">
      <t>ギジュツ</t>
    </rPh>
    <rPh sb="5" eb="7">
      <t>ショウサイ</t>
    </rPh>
    <rPh sb="46" eb="48">
      <t>サンショウ</t>
    </rPh>
    <phoneticPr fontId="2"/>
  </si>
  <si>
    <t>諸元値一覧</t>
    <rPh sb="0" eb="2">
      <t>ショゲン</t>
    </rPh>
    <rPh sb="2" eb="3">
      <t>チ</t>
    </rPh>
    <rPh sb="3" eb="5">
      <t>イチラン</t>
    </rPh>
    <phoneticPr fontId="2"/>
  </si>
  <si>
    <t>従来技術緒元</t>
    <rPh sb="0" eb="2">
      <t>ジュウライ</t>
    </rPh>
    <rPh sb="2" eb="4">
      <t>ギジュツ</t>
    </rPh>
    <rPh sb="4" eb="6">
      <t>ショゲン</t>
    </rPh>
    <phoneticPr fontId="2"/>
  </si>
  <si>
    <t>設備規模(wet-t/日)：Xd</t>
    <rPh sb="0" eb="2">
      <t>セツビ</t>
    </rPh>
    <rPh sb="2" eb="4">
      <t>キボ</t>
    </rPh>
    <phoneticPr fontId="2"/>
  </si>
  <si>
    <t>(100≦Xd≦300)</t>
    <phoneticPr fontId="2"/>
  </si>
  <si>
    <r>
      <t>設備規模(m</t>
    </r>
    <r>
      <rPr>
        <vertAlign val="superscript"/>
        <sz val="11"/>
        <color theme="1"/>
        <rFont val="游ゴシック"/>
        <family val="3"/>
        <charset val="128"/>
        <scheme val="minor"/>
      </rPr>
      <t>3</t>
    </r>
    <r>
      <rPr>
        <sz val="11"/>
        <color theme="1"/>
        <rFont val="游ゴシック"/>
        <family val="2"/>
        <charset val="128"/>
        <scheme val="minor"/>
      </rPr>
      <t>-濃縮汚泥/日)：Qd</t>
    </r>
    <rPh sb="0" eb="2">
      <t>セツビ</t>
    </rPh>
    <rPh sb="2" eb="4">
      <t>キボ</t>
    </rPh>
    <rPh sb="8" eb="10">
      <t>ノウシュク</t>
    </rPh>
    <rPh sb="10" eb="12">
      <t>オデイ</t>
    </rPh>
    <phoneticPr fontId="2"/>
  </si>
  <si>
    <t>(自動計算)</t>
    <rPh sb="1" eb="3">
      <t>ジドウ</t>
    </rPh>
    <rPh sb="3" eb="5">
      <t>ケイサン</t>
    </rPh>
    <phoneticPr fontId="2"/>
  </si>
  <si>
    <t>脱水ケーキ含水率（%）</t>
    <rPh sb="0" eb="2">
      <t>ダッスイ</t>
    </rPh>
    <rPh sb="5" eb="8">
      <t>ガンスイリツ</t>
    </rPh>
    <phoneticPr fontId="2"/>
  </si>
  <si>
    <t>(固定値)</t>
    <rPh sb="1" eb="3">
      <t>コテイ</t>
    </rPh>
    <rPh sb="3" eb="4">
      <t>チ</t>
    </rPh>
    <phoneticPr fontId="2"/>
  </si>
  <si>
    <t>脱水ケーキ有機分率（%）</t>
    <rPh sb="0" eb="2">
      <t>ダッスイ</t>
    </rPh>
    <rPh sb="5" eb="7">
      <t>ユウキ</t>
    </rPh>
    <rPh sb="7" eb="9">
      <t>ブンリツ</t>
    </rPh>
    <phoneticPr fontId="2"/>
  </si>
  <si>
    <t>稼働日数(日/年)</t>
    <rPh sb="0" eb="2">
      <t>カドウ</t>
    </rPh>
    <rPh sb="2" eb="4">
      <t>ニッスウ</t>
    </rPh>
    <rPh sb="5" eb="6">
      <t>ヒ</t>
    </rPh>
    <rPh sb="7" eb="8">
      <t>ネン</t>
    </rPh>
    <phoneticPr fontId="2"/>
  </si>
  <si>
    <t>年間処理脱水汚泥量(wet-t/年)：Xy</t>
    <rPh sb="0" eb="2">
      <t>ネンカン</t>
    </rPh>
    <rPh sb="2" eb="4">
      <t>ショリ</t>
    </rPh>
    <rPh sb="4" eb="6">
      <t>ダッスイ</t>
    </rPh>
    <rPh sb="6" eb="9">
      <t>オデイリョウ</t>
    </rPh>
    <rPh sb="16" eb="17">
      <t>ネン</t>
    </rPh>
    <phoneticPr fontId="2"/>
  </si>
  <si>
    <t>エネルギー換算係数</t>
    <rPh sb="5" eb="7">
      <t>カンザン</t>
    </rPh>
    <rPh sb="7" eb="9">
      <t>ケイスウ</t>
    </rPh>
    <phoneticPr fontId="2"/>
  </si>
  <si>
    <t>温室効果ガス(GHG)排出量原単位</t>
    <rPh sb="0" eb="2">
      <t>オンシツ</t>
    </rPh>
    <rPh sb="2" eb="4">
      <t>コウカ</t>
    </rPh>
    <phoneticPr fontId="2"/>
  </si>
  <si>
    <t>年間処理濃縮汚泥量(m3/年)：Qy</t>
    <rPh sb="0" eb="2">
      <t>ネンカン</t>
    </rPh>
    <rPh sb="2" eb="4">
      <t>ショリ</t>
    </rPh>
    <rPh sb="4" eb="6">
      <t>ノウシュク</t>
    </rPh>
    <rPh sb="6" eb="9">
      <t>オデイリョウ</t>
    </rPh>
    <rPh sb="13" eb="14">
      <t>ネン</t>
    </rPh>
    <phoneticPr fontId="2"/>
  </si>
  <si>
    <t>都市ガス</t>
    <rPh sb="0" eb="2">
      <t>トシ</t>
    </rPh>
    <phoneticPr fontId="2"/>
  </si>
  <si>
    <r>
      <t>MJ/Nm</t>
    </r>
    <r>
      <rPr>
        <vertAlign val="superscript"/>
        <sz val="11"/>
        <color theme="1"/>
        <rFont val="游ゴシック"/>
        <family val="3"/>
        <charset val="128"/>
        <scheme val="minor"/>
      </rPr>
      <t>3</t>
    </r>
    <phoneticPr fontId="2"/>
  </si>
  <si>
    <r>
      <t>kg</t>
    </r>
    <r>
      <rPr>
        <sz val="11"/>
        <rFont val="游ゴシック"/>
        <family val="3"/>
        <charset val="128"/>
        <scheme val="minor"/>
      </rPr>
      <t>-CO</t>
    </r>
    <r>
      <rPr>
        <vertAlign val="subscript"/>
        <sz val="11"/>
        <rFont val="游ゴシック"/>
        <family val="3"/>
        <charset val="128"/>
        <scheme val="minor"/>
      </rPr>
      <t>2</t>
    </r>
    <r>
      <rPr>
        <sz val="11"/>
        <rFont val="游ゴシック"/>
        <family val="3"/>
        <charset val="128"/>
        <scheme val="minor"/>
      </rPr>
      <t>/m</t>
    </r>
    <r>
      <rPr>
        <vertAlign val="superscript"/>
        <sz val="11"/>
        <rFont val="游ゴシック"/>
        <family val="3"/>
        <charset val="128"/>
        <scheme val="minor"/>
      </rPr>
      <t>3</t>
    </r>
    <phoneticPr fontId="2"/>
  </si>
  <si>
    <t>(千m3/年）</t>
    <rPh sb="1" eb="2">
      <t>セン</t>
    </rPh>
    <rPh sb="5" eb="6">
      <t>ネン</t>
    </rPh>
    <phoneticPr fontId="2"/>
  </si>
  <si>
    <r>
      <rPr>
        <sz val="11"/>
        <color theme="1"/>
        <rFont val="游ゴシック"/>
        <family val="3"/>
        <charset val="128"/>
        <scheme val="minor"/>
      </rPr>
      <t>(</t>
    </r>
    <r>
      <rPr>
        <sz val="11"/>
        <color theme="1"/>
        <rFont val="游ゴシック"/>
        <family val="2"/>
        <charset val="128"/>
        <scheme val="minor"/>
      </rPr>
      <t>MJ/Nm</t>
    </r>
    <r>
      <rPr>
        <vertAlign val="superscript"/>
        <sz val="11"/>
        <color theme="1"/>
        <rFont val="游ゴシック"/>
        <family val="3"/>
        <charset val="128"/>
        <scheme val="minor"/>
      </rPr>
      <t>3)</t>
    </r>
    <phoneticPr fontId="2"/>
  </si>
  <si>
    <r>
      <t>脱水設備電力使用量(MWh/年)</t>
    </r>
    <r>
      <rPr>
        <vertAlign val="superscript"/>
        <sz val="11"/>
        <color theme="1"/>
        <rFont val="游ゴシック"/>
        <family val="3"/>
        <charset val="128"/>
        <scheme val="minor"/>
      </rPr>
      <t>※1</t>
    </r>
    <rPh sb="0" eb="2">
      <t>ダッスイ</t>
    </rPh>
    <rPh sb="2" eb="4">
      <t>セツビ</t>
    </rPh>
    <rPh sb="4" eb="6">
      <t>デンリョク</t>
    </rPh>
    <rPh sb="6" eb="9">
      <t>シヨウリョウ</t>
    </rPh>
    <rPh sb="14" eb="15">
      <t>ネン</t>
    </rPh>
    <phoneticPr fontId="2"/>
  </si>
  <si>
    <t>消化ガス</t>
    <rPh sb="0" eb="2">
      <t>ショウカ</t>
    </rPh>
    <phoneticPr fontId="2"/>
  </si>
  <si>
    <r>
      <t>kg-CO</t>
    </r>
    <r>
      <rPr>
        <vertAlign val="subscript"/>
        <sz val="11"/>
        <rFont val="游ゴシック"/>
        <family val="3"/>
        <charset val="128"/>
        <scheme val="minor"/>
      </rPr>
      <t>2</t>
    </r>
    <r>
      <rPr>
        <sz val="11"/>
        <rFont val="游ゴシック"/>
        <family val="3"/>
        <charset val="128"/>
        <scheme val="minor"/>
      </rPr>
      <t>/m</t>
    </r>
    <r>
      <rPr>
        <vertAlign val="superscript"/>
        <sz val="11"/>
        <rFont val="游ゴシック"/>
        <family val="3"/>
        <charset val="128"/>
        <scheme val="minor"/>
      </rPr>
      <t>3</t>
    </r>
    <phoneticPr fontId="2"/>
  </si>
  <si>
    <r>
      <t>焼却設備電力使用量(MWh/年)</t>
    </r>
    <r>
      <rPr>
        <vertAlign val="superscript"/>
        <sz val="11"/>
        <color theme="1"/>
        <rFont val="游ゴシック"/>
        <family val="3"/>
        <charset val="128"/>
        <scheme val="minor"/>
      </rPr>
      <t>※1</t>
    </r>
    <rPh sb="0" eb="2">
      <t>ショウキャク</t>
    </rPh>
    <rPh sb="2" eb="4">
      <t>セツビ</t>
    </rPh>
    <rPh sb="4" eb="6">
      <t>デンリョク</t>
    </rPh>
    <rPh sb="6" eb="9">
      <t>シヨウリョウ</t>
    </rPh>
    <rPh sb="14" eb="15">
      <t>ネン</t>
    </rPh>
    <phoneticPr fontId="2"/>
  </si>
  <si>
    <t>灯油</t>
    <rPh sb="0" eb="2">
      <t>トウユ</t>
    </rPh>
    <phoneticPr fontId="2"/>
  </si>
  <si>
    <t>MJ/L</t>
    <phoneticPr fontId="2"/>
  </si>
  <si>
    <r>
      <t>kg-CO</t>
    </r>
    <r>
      <rPr>
        <vertAlign val="subscript"/>
        <sz val="11"/>
        <rFont val="游ゴシック"/>
        <family val="3"/>
        <charset val="128"/>
        <scheme val="minor"/>
      </rPr>
      <t>2</t>
    </r>
    <r>
      <rPr>
        <sz val="11"/>
        <rFont val="游ゴシック"/>
        <family val="3"/>
        <charset val="128"/>
        <scheme val="minor"/>
      </rPr>
      <t>/L</t>
    </r>
    <phoneticPr fontId="2"/>
  </si>
  <si>
    <t>(kL/年）</t>
    <rPh sb="4" eb="5">
      <t>ネン</t>
    </rPh>
    <phoneticPr fontId="2"/>
  </si>
  <si>
    <t>(MJ/L)</t>
    <phoneticPr fontId="2"/>
  </si>
  <si>
    <r>
      <t>補助燃料種類</t>
    </r>
    <r>
      <rPr>
        <vertAlign val="superscript"/>
        <sz val="11"/>
        <rFont val="游ゴシック"/>
        <family val="3"/>
        <charset val="128"/>
        <scheme val="minor"/>
      </rPr>
      <t>※1</t>
    </r>
    <rPh sb="0" eb="2">
      <t>ホジョ</t>
    </rPh>
    <rPh sb="2" eb="4">
      <t>ネンリョウ</t>
    </rPh>
    <rPh sb="4" eb="6">
      <t>シュルイ</t>
    </rPh>
    <phoneticPr fontId="2"/>
  </si>
  <si>
    <t>→</t>
    <phoneticPr fontId="2"/>
  </si>
  <si>
    <t>エネルギー換算係数(自動入力)</t>
    <rPh sb="5" eb="7">
      <t>カンザン</t>
    </rPh>
    <rPh sb="7" eb="9">
      <t>ケイスウ</t>
    </rPh>
    <phoneticPr fontId="2"/>
  </si>
  <si>
    <t>A重油</t>
    <rPh sb="1" eb="3">
      <t>ジュウユ</t>
    </rPh>
    <phoneticPr fontId="2"/>
  </si>
  <si>
    <r>
      <t>補助燃料使用量(kLor千m3/年)</t>
    </r>
    <r>
      <rPr>
        <vertAlign val="superscript"/>
        <sz val="11"/>
        <rFont val="游ゴシック"/>
        <family val="3"/>
        <charset val="128"/>
        <scheme val="minor"/>
      </rPr>
      <t>※1</t>
    </r>
    <rPh sb="0" eb="2">
      <t>ホジョ</t>
    </rPh>
    <rPh sb="2" eb="4">
      <t>ネンリョウ</t>
    </rPh>
    <rPh sb="4" eb="7">
      <t>シヨウリョウ</t>
    </rPh>
    <rPh sb="12" eb="13">
      <t>セン</t>
    </rPh>
    <rPh sb="16" eb="17">
      <t>ネン</t>
    </rPh>
    <phoneticPr fontId="2"/>
  </si>
  <si>
    <t>温室効果ガス(GHG)排出量原単位(自動入力)</t>
    <rPh sb="0" eb="2">
      <t>オンシツ</t>
    </rPh>
    <rPh sb="2" eb="4">
      <t>コウカ</t>
    </rPh>
    <rPh sb="11" eb="13">
      <t>ハイシュツ</t>
    </rPh>
    <rPh sb="13" eb="14">
      <t>リョウ</t>
    </rPh>
    <rPh sb="14" eb="17">
      <t>ゲンタンイ</t>
    </rPh>
    <rPh sb="18" eb="20">
      <t>ジドウ</t>
    </rPh>
    <rPh sb="20" eb="22">
      <t>ニュウリョク</t>
    </rPh>
    <phoneticPr fontId="2"/>
  </si>
  <si>
    <t>※1 検討処理場の実績値を入力する。消化ガス(バイオマス系燃料)は試算対象外である。</t>
    <rPh sb="5" eb="8">
      <t>ショリジョウ</t>
    </rPh>
    <rPh sb="13" eb="15">
      <t>ニュウリョク</t>
    </rPh>
    <phoneticPr fontId="2"/>
  </si>
  <si>
    <t>＜その他条件、本Excel使用時の注意事項＞</t>
    <rPh sb="3" eb="4">
      <t>タ</t>
    </rPh>
    <rPh sb="4" eb="6">
      <t>ジョウケン</t>
    </rPh>
    <rPh sb="7" eb="8">
      <t>ホン</t>
    </rPh>
    <rPh sb="13" eb="16">
      <t>シヨウジ</t>
    </rPh>
    <rPh sb="17" eb="19">
      <t>チュウイ</t>
    </rPh>
    <rPh sb="19" eb="21">
      <t>ジコウ</t>
    </rPh>
    <phoneticPr fontId="2"/>
  </si>
  <si>
    <t>・</t>
    <phoneticPr fontId="2"/>
  </si>
  <si>
    <t>本Excelでは、主に施設規模を変えた場合における本技術の導入効果を試算する。汚泥性状等の試算の前提条件については、ガイドラインに基づくものとする。</t>
    <rPh sb="0" eb="1">
      <t>ホン</t>
    </rPh>
    <rPh sb="9" eb="10">
      <t>オモ</t>
    </rPh>
    <rPh sb="11" eb="13">
      <t>シセツ</t>
    </rPh>
    <rPh sb="13" eb="15">
      <t>キボ</t>
    </rPh>
    <rPh sb="16" eb="17">
      <t>カ</t>
    </rPh>
    <rPh sb="19" eb="21">
      <t>バアイ</t>
    </rPh>
    <rPh sb="25" eb="26">
      <t>ホン</t>
    </rPh>
    <rPh sb="26" eb="28">
      <t>ギジュツ</t>
    </rPh>
    <rPh sb="29" eb="31">
      <t>ドウニュウ</t>
    </rPh>
    <rPh sb="31" eb="33">
      <t>コウカ</t>
    </rPh>
    <rPh sb="34" eb="36">
      <t>シサン</t>
    </rPh>
    <rPh sb="39" eb="41">
      <t>オデイ</t>
    </rPh>
    <rPh sb="41" eb="43">
      <t>セイジョウ</t>
    </rPh>
    <rPh sb="43" eb="44">
      <t>ナド</t>
    </rPh>
    <rPh sb="48" eb="50">
      <t>ゼンテイ</t>
    </rPh>
    <rPh sb="50" eb="52">
      <t>ジョウケン</t>
    </rPh>
    <rPh sb="65" eb="66">
      <t>モト</t>
    </rPh>
    <phoneticPr fontId="2"/>
  </si>
  <si>
    <t>※汚泥組成、発熱量、負荷率、二次処理水温度等については、ガイドラインp31）表2-7「評価の前提条件」に記載あり</t>
    <rPh sb="52" eb="54">
      <t>キサイ</t>
    </rPh>
    <phoneticPr fontId="2"/>
  </si>
  <si>
    <t>検討処理場における諸条件がガイドライン記載の前提条件と異なる場合は、導入効果が本試算値と大きく異なる場合があるため注意が必要である。</t>
    <rPh sb="0" eb="2">
      <t>ケントウ</t>
    </rPh>
    <rPh sb="2" eb="5">
      <t>ショリジョウ</t>
    </rPh>
    <rPh sb="9" eb="12">
      <t>ショジョウケン</t>
    </rPh>
    <rPh sb="19" eb="21">
      <t>キサイ</t>
    </rPh>
    <rPh sb="22" eb="24">
      <t>ゼンテイ</t>
    </rPh>
    <rPh sb="24" eb="26">
      <t>ジョウケン</t>
    </rPh>
    <rPh sb="27" eb="28">
      <t>コト</t>
    </rPh>
    <rPh sb="30" eb="32">
      <t>バアイ</t>
    </rPh>
    <rPh sb="34" eb="36">
      <t>ドウニュウ</t>
    </rPh>
    <rPh sb="36" eb="38">
      <t>コウカ</t>
    </rPh>
    <rPh sb="39" eb="40">
      <t>ホン</t>
    </rPh>
    <rPh sb="40" eb="43">
      <t>シサンチ</t>
    </rPh>
    <rPh sb="44" eb="45">
      <t>オオ</t>
    </rPh>
    <rPh sb="47" eb="48">
      <t>コト</t>
    </rPh>
    <rPh sb="50" eb="52">
      <t>バアイ</t>
    </rPh>
    <rPh sb="57" eb="59">
      <t>チュウイ</t>
    </rPh>
    <rPh sb="60" eb="62">
      <t>ヒツヨウ</t>
    </rPh>
    <phoneticPr fontId="2"/>
  </si>
  <si>
    <t>そのような場合は、ガイドライン資料編に記載の「Ⅱ-2.様々な条件下における導入効果の試算方法と追加費用」を参考とすること。</t>
    <rPh sb="5" eb="7">
      <t>バアイ</t>
    </rPh>
    <rPh sb="15" eb="18">
      <t>シリョウヘン</t>
    </rPh>
    <rPh sb="19" eb="21">
      <t>キサイ</t>
    </rPh>
    <rPh sb="27" eb="29">
      <t>サマザマ</t>
    </rPh>
    <rPh sb="30" eb="32">
      <t>ジョウケン</t>
    </rPh>
    <rPh sb="32" eb="33">
      <t>カ</t>
    </rPh>
    <rPh sb="37" eb="39">
      <t>ドウニュウ</t>
    </rPh>
    <rPh sb="39" eb="41">
      <t>コウカ</t>
    </rPh>
    <rPh sb="42" eb="44">
      <t>シサン</t>
    </rPh>
    <rPh sb="44" eb="46">
      <t>ホウホウ</t>
    </rPh>
    <rPh sb="47" eb="49">
      <t>ツイカ</t>
    </rPh>
    <rPh sb="49" eb="51">
      <t>ヒヨウ</t>
    </rPh>
    <rPh sb="53" eb="55">
      <t>サンコウ</t>
    </rPh>
    <phoneticPr fontId="2"/>
  </si>
  <si>
    <t>また、消化汚泥を検討対象とする場合は、ガイドラインに記載のケーススタディ（CASE-5）も参考となる。</t>
    <rPh sb="3" eb="5">
      <t>ショウカ</t>
    </rPh>
    <rPh sb="5" eb="7">
      <t>オデイ</t>
    </rPh>
    <rPh sb="8" eb="10">
      <t>ケントウ</t>
    </rPh>
    <rPh sb="10" eb="12">
      <t>タイショウ</t>
    </rPh>
    <rPh sb="15" eb="17">
      <t>バアイ</t>
    </rPh>
    <rPh sb="26" eb="28">
      <t>キサイ</t>
    </rPh>
    <rPh sb="45" eb="47">
      <t>サンコウ</t>
    </rPh>
    <phoneticPr fontId="2"/>
  </si>
  <si>
    <t>本革新的技術は、脱水、燃焼、発電の３技術を個別導入することも可能であるが、本Excelは３技術の一括導入時の効果算定を行うものである。</t>
    <rPh sb="0" eb="1">
      <t>ホン</t>
    </rPh>
    <rPh sb="1" eb="4">
      <t>カクシンテキ</t>
    </rPh>
    <rPh sb="4" eb="6">
      <t>ギジュツ</t>
    </rPh>
    <rPh sb="8" eb="10">
      <t>ダッスイ</t>
    </rPh>
    <rPh sb="11" eb="13">
      <t>ネンショウ</t>
    </rPh>
    <rPh sb="14" eb="16">
      <t>ハツデン</t>
    </rPh>
    <rPh sb="18" eb="20">
      <t>ギジュツ</t>
    </rPh>
    <rPh sb="21" eb="23">
      <t>コベツ</t>
    </rPh>
    <rPh sb="23" eb="25">
      <t>ドウニュウ</t>
    </rPh>
    <rPh sb="30" eb="32">
      <t>カノウ</t>
    </rPh>
    <rPh sb="37" eb="38">
      <t>ホン</t>
    </rPh>
    <rPh sb="45" eb="47">
      <t>ギジュツ</t>
    </rPh>
    <rPh sb="48" eb="50">
      <t>イッカツ</t>
    </rPh>
    <rPh sb="50" eb="52">
      <t>ドウニュウ</t>
    </rPh>
    <rPh sb="52" eb="53">
      <t>ジ</t>
    </rPh>
    <rPh sb="54" eb="56">
      <t>コウカ</t>
    </rPh>
    <rPh sb="56" eb="58">
      <t>サンテイ</t>
    </rPh>
    <rPh sb="59" eb="60">
      <t>オコナ</t>
    </rPh>
    <phoneticPr fontId="2"/>
  </si>
  <si>
    <t>各技術の個別導入および段階的導入時の効果算定については、ガイドラインに掲載のケーススタディ（CASE-2～CASE-4）を参照のこと。</t>
    <rPh sb="0" eb="1">
      <t>カク</t>
    </rPh>
    <rPh sb="1" eb="3">
      <t>ギジュツ</t>
    </rPh>
    <rPh sb="4" eb="6">
      <t>コベツ</t>
    </rPh>
    <rPh sb="6" eb="8">
      <t>ドウニュウ</t>
    </rPh>
    <rPh sb="11" eb="14">
      <t>ダンカイテキ</t>
    </rPh>
    <rPh sb="14" eb="16">
      <t>ドウニュウ</t>
    </rPh>
    <rPh sb="16" eb="17">
      <t>ジ</t>
    </rPh>
    <rPh sb="18" eb="20">
      <t>コウカ</t>
    </rPh>
    <rPh sb="20" eb="22">
      <t>サンテイ</t>
    </rPh>
    <rPh sb="35" eb="37">
      <t>ケイサイ</t>
    </rPh>
    <rPh sb="61" eb="63">
      <t>サンショウ</t>
    </rPh>
    <phoneticPr fontId="2"/>
  </si>
  <si>
    <t>発電設備のみの導入判定を行う場合は、ガイドラインp176）表資3-9「発電設備の運転利益（規模別）」等も参考とできる。</t>
    <rPh sb="0" eb="2">
      <t>ハツデン</t>
    </rPh>
    <rPh sb="2" eb="4">
      <t>セツビ</t>
    </rPh>
    <rPh sb="7" eb="9">
      <t>ドウニュウ</t>
    </rPh>
    <rPh sb="9" eb="11">
      <t>ハンテイ</t>
    </rPh>
    <rPh sb="12" eb="13">
      <t>オコナ</t>
    </rPh>
    <rPh sb="14" eb="16">
      <t>バアイ</t>
    </rPh>
    <rPh sb="29" eb="30">
      <t>ヒョウ</t>
    </rPh>
    <rPh sb="30" eb="31">
      <t>シ</t>
    </rPh>
    <rPh sb="35" eb="37">
      <t>ハツデン</t>
    </rPh>
    <rPh sb="37" eb="39">
      <t>セツビ</t>
    </rPh>
    <rPh sb="40" eb="42">
      <t>ウンテン</t>
    </rPh>
    <rPh sb="42" eb="44">
      <t>リエキ</t>
    </rPh>
    <rPh sb="45" eb="48">
      <t>キボベツ</t>
    </rPh>
    <rPh sb="50" eb="51">
      <t>ナド</t>
    </rPh>
    <rPh sb="52" eb="54">
      <t>サンコウ</t>
    </rPh>
    <phoneticPr fontId="2"/>
  </si>
  <si>
    <r>
      <t>総費用（年価換算値）※革新的技術</t>
    </r>
    <r>
      <rPr>
        <sz val="20"/>
        <color rgb="FFFF0000"/>
        <rFont val="游ゴシック"/>
        <family val="3"/>
        <charset val="128"/>
        <scheme val="minor"/>
      </rPr>
      <t>（脱水・燃焼・発電の３設備を一括で新設導入する場合）</t>
    </r>
    <rPh sb="0" eb="3">
      <t>ソウヒヨウ</t>
    </rPh>
    <rPh sb="4" eb="6">
      <t>ネンカ</t>
    </rPh>
    <rPh sb="6" eb="9">
      <t>カンサンチ</t>
    </rPh>
    <rPh sb="11" eb="14">
      <t>カクシンテキ</t>
    </rPh>
    <rPh sb="14" eb="16">
      <t>ギジュツ</t>
    </rPh>
    <rPh sb="17" eb="19">
      <t>ダッスイ</t>
    </rPh>
    <rPh sb="20" eb="22">
      <t>ネンショウ</t>
    </rPh>
    <rPh sb="23" eb="25">
      <t>ハツデン</t>
    </rPh>
    <rPh sb="27" eb="29">
      <t>セツビ</t>
    </rPh>
    <rPh sb="30" eb="32">
      <t>イッカツ</t>
    </rPh>
    <rPh sb="33" eb="35">
      <t>シンセツ</t>
    </rPh>
    <rPh sb="35" eb="37">
      <t>ドウニュウ</t>
    </rPh>
    <rPh sb="39" eb="41">
      <t>バアイ</t>
    </rPh>
    <phoneticPr fontId="2"/>
  </si>
  <si>
    <t>技術区分</t>
    <rPh sb="0" eb="2">
      <t>ギジュツ</t>
    </rPh>
    <rPh sb="2" eb="4">
      <t>クブン</t>
    </rPh>
    <phoneticPr fontId="2"/>
  </si>
  <si>
    <t>設備名称</t>
    <rPh sb="0" eb="2">
      <t>セツビ</t>
    </rPh>
    <rPh sb="2" eb="4">
      <t>メイショウ</t>
    </rPh>
    <phoneticPr fontId="2"/>
  </si>
  <si>
    <t>費用関数</t>
    <rPh sb="0" eb="2">
      <t>ヒヨウ</t>
    </rPh>
    <rPh sb="2" eb="4">
      <t>カンスウ</t>
    </rPh>
    <phoneticPr fontId="2"/>
  </si>
  <si>
    <t>費用</t>
    <rPh sb="0" eb="2">
      <t>ヒヨウ</t>
    </rPh>
    <phoneticPr fontId="2"/>
  </si>
  <si>
    <t>備考</t>
    <rPh sb="0" eb="2">
      <t>ビコウ</t>
    </rPh>
    <phoneticPr fontId="2"/>
  </si>
  <si>
    <t>脱水設備</t>
    <rPh sb="0" eb="2">
      <t>ダッスイ</t>
    </rPh>
    <rPh sb="2" eb="4">
      <t>セツビ</t>
    </rPh>
    <phoneticPr fontId="2"/>
  </si>
  <si>
    <t>土木建築費</t>
    <rPh sb="0" eb="2">
      <t>ドボク</t>
    </rPh>
    <rPh sb="2" eb="4">
      <t>ケンチク</t>
    </rPh>
    <rPh sb="4" eb="5">
      <t>ヒ</t>
    </rPh>
    <phoneticPr fontId="2"/>
  </si>
  <si>
    <t>百万円</t>
    <rPh sb="0" eb="2">
      <t>ヒャクマン</t>
    </rPh>
    <rPh sb="2" eb="3">
      <t>エン</t>
    </rPh>
    <phoneticPr fontId="2"/>
  </si>
  <si>
    <r>
      <t>Y=0.227Qd</t>
    </r>
    <r>
      <rPr>
        <vertAlign val="superscript"/>
        <sz val="11"/>
        <rFont val="游ゴシック"/>
        <family val="3"/>
        <charset val="128"/>
        <scheme val="minor"/>
      </rPr>
      <t>0.444</t>
    </r>
    <r>
      <rPr>
        <sz val="11"/>
        <rFont val="游ゴシック"/>
        <family val="3"/>
        <charset val="128"/>
        <scheme val="minor"/>
      </rPr>
      <t>×100×デフレータ</t>
    </r>
    <phoneticPr fontId="2"/>
  </si>
  <si>
    <r>
      <t>㋐、Qd：設備規模(m</t>
    </r>
    <r>
      <rPr>
        <vertAlign val="superscript"/>
        <sz val="11"/>
        <color theme="1"/>
        <rFont val="游ゴシック"/>
        <family val="3"/>
        <charset val="128"/>
        <scheme val="minor"/>
      </rPr>
      <t>3</t>
    </r>
    <r>
      <rPr>
        <sz val="11"/>
        <color theme="1"/>
        <rFont val="游ゴシック"/>
        <family val="2"/>
        <charset val="128"/>
        <scheme val="minor"/>
      </rPr>
      <t>-濃縮汚泥/日)</t>
    </r>
    <rPh sb="5" eb="7">
      <t>セツビ</t>
    </rPh>
    <rPh sb="7" eb="9">
      <t>キボ</t>
    </rPh>
    <rPh sb="13" eb="15">
      <t>ノウシュク</t>
    </rPh>
    <rPh sb="15" eb="17">
      <t>オデイ</t>
    </rPh>
    <rPh sb="18" eb="19">
      <t>ニチ</t>
    </rPh>
    <phoneticPr fontId="2"/>
  </si>
  <si>
    <t>機械建設費</t>
    <rPh sb="0" eb="2">
      <t>キカイ</t>
    </rPh>
    <rPh sb="2" eb="5">
      <t>ケンセツヒ</t>
    </rPh>
    <phoneticPr fontId="2"/>
  </si>
  <si>
    <r>
      <t>Y=0.434Qd</t>
    </r>
    <r>
      <rPr>
        <vertAlign val="superscript"/>
        <sz val="11"/>
        <rFont val="游ゴシック"/>
        <family val="3"/>
        <charset val="128"/>
        <scheme val="minor"/>
      </rPr>
      <t>0.373</t>
    </r>
    <r>
      <rPr>
        <sz val="11"/>
        <rFont val="游ゴシック"/>
        <family val="3"/>
        <charset val="128"/>
        <scheme val="minor"/>
      </rPr>
      <t>×100×デフレータ</t>
    </r>
    <phoneticPr fontId="2"/>
  </si>
  <si>
    <t>㋑</t>
    <phoneticPr fontId="2"/>
  </si>
  <si>
    <t>電気建設費</t>
    <rPh sb="0" eb="2">
      <t>デンキ</t>
    </rPh>
    <rPh sb="2" eb="4">
      <t>ケンセツ</t>
    </rPh>
    <rPh sb="4" eb="5">
      <t>ヒ</t>
    </rPh>
    <phoneticPr fontId="2"/>
  </si>
  <si>
    <t>焼却設備・電気建設費に含む</t>
    <phoneticPr fontId="2"/>
  </si>
  <si>
    <t>維持管理費</t>
    <rPh sb="0" eb="2">
      <t>イジ</t>
    </rPh>
    <rPh sb="2" eb="5">
      <t>カンリヒ</t>
    </rPh>
    <phoneticPr fontId="2"/>
  </si>
  <si>
    <t>百万円/年</t>
    <rPh sb="0" eb="2">
      <t>ヒャクマン</t>
    </rPh>
    <rPh sb="2" eb="3">
      <t>エン</t>
    </rPh>
    <rPh sb="4" eb="5">
      <t>ネン</t>
    </rPh>
    <phoneticPr fontId="2"/>
  </si>
  <si>
    <r>
      <t>Y=0.039Qy</t>
    </r>
    <r>
      <rPr>
        <vertAlign val="superscript"/>
        <sz val="11"/>
        <rFont val="游ゴシック"/>
        <family val="3"/>
        <charset val="128"/>
        <scheme val="minor"/>
      </rPr>
      <t>0.596</t>
    </r>
    <r>
      <rPr>
        <sz val="11"/>
        <rFont val="游ゴシック"/>
        <family val="3"/>
        <charset val="128"/>
        <scheme val="minor"/>
      </rPr>
      <t>×100</t>
    </r>
    <phoneticPr fontId="2"/>
  </si>
  <si>
    <t>①、Qy：年間処理濃縮汚泥量(m3-濃縮汚泥/年)</t>
    <rPh sb="5" eb="7">
      <t>ネンカン</t>
    </rPh>
    <rPh sb="7" eb="9">
      <t>ショリ</t>
    </rPh>
    <rPh sb="9" eb="11">
      <t>ノウシュク</t>
    </rPh>
    <rPh sb="11" eb="13">
      <t>オデイ</t>
    </rPh>
    <rPh sb="13" eb="14">
      <t>リョウ</t>
    </rPh>
    <rPh sb="23" eb="24">
      <t>ネン</t>
    </rPh>
    <phoneticPr fontId="2"/>
  </si>
  <si>
    <t>焼却設備</t>
    <rPh sb="0" eb="2">
      <t>ショウキャク</t>
    </rPh>
    <rPh sb="2" eb="4">
      <t>セツビ</t>
    </rPh>
    <phoneticPr fontId="2"/>
  </si>
  <si>
    <r>
      <t>Y=2.426Xd</t>
    </r>
    <r>
      <rPr>
        <vertAlign val="superscript"/>
        <sz val="11"/>
        <rFont val="游ゴシック"/>
        <family val="3"/>
        <charset val="128"/>
        <scheme val="minor"/>
      </rPr>
      <t>0.0094</t>
    </r>
    <r>
      <rPr>
        <sz val="11"/>
        <rFont val="游ゴシック"/>
        <family val="3"/>
        <charset val="128"/>
        <scheme val="minor"/>
      </rPr>
      <t>×100×デフレータ</t>
    </r>
    <phoneticPr fontId="2"/>
  </si>
  <si>
    <t>㋒、Xd：設備規模(wet-t/日)</t>
    <phoneticPr fontId="2"/>
  </si>
  <si>
    <r>
      <t>Y=1.888Xd</t>
    </r>
    <r>
      <rPr>
        <vertAlign val="superscript"/>
        <sz val="11"/>
        <rFont val="游ゴシック"/>
        <family val="3"/>
        <charset val="128"/>
        <scheme val="minor"/>
      </rPr>
      <t>0.597</t>
    </r>
    <r>
      <rPr>
        <sz val="11"/>
        <rFont val="游ゴシック"/>
        <family val="3"/>
        <charset val="128"/>
        <scheme val="minor"/>
      </rPr>
      <t>×100×デフレータ</t>
    </r>
    <phoneticPr fontId="2"/>
  </si>
  <si>
    <t>㋓</t>
    <phoneticPr fontId="2"/>
  </si>
  <si>
    <r>
      <t>Y=0.726Xd</t>
    </r>
    <r>
      <rPr>
        <vertAlign val="superscript"/>
        <sz val="11"/>
        <rFont val="游ゴシック"/>
        <family val="3"/>
        <charset val="128"/>
        <scheme val="minor"/>
      </rPr>
      <t>0.539</t>
    </r>
    <r>
      <rPr>
        <sz val="11"/>
        <rFont val="游ゴシック"/>
        <family val="3"/>
        <charset val="128"/>
        <scheme val="minor"/>
      </rPr>
      <t>×100×デフレータ</t>
    </r>
    <phoneticPr fontId="2"/>
  </si>
  <si>
    <t>㋔</t>
    <phoneticPr fontId="2"/>
  </si>
  <si>
    <t>維持管理費（灰処分費以外）</t>
    <rPh sb="0" eb="2">
      <t>イジ</t>
    </rPh>
    <rPh sb="2" eb="5">
      <t>カンリヒ</t>
    </rPh>
    <rPh sb="6" eb="7">
      <t>ハイ</t>
    </rPh>
    <rPh sb="7" eb="9">
      <t>ショブン</t>
    </rPh>
    <rPh sb="9" eb="10">
      <t>ヒ</t>
    </rPh>
    <rPh sb="10" eb="12">
      <t>イガイ</t>
    </rPh>
    <phoneticPr fontId="2"/>
  </si>
  <si>
    <r>
      <t>Y=0.287Xy</t>
    </r>
    <r>
      <rPr>
        <vertAlign val="superscript"/>
        <sz val="11"/>
        <color theme="1"/>
        <rFont val="游ゴシック"/>
        <family val="3"/>
        <charset val="128"/>
        <scheme val="minor"/>
      </rPr>
      <t>0.673</t>
    </r>
    <r>
      <rPr>
        <sz val="11"/>
        <color theme="1"/>
        <rFont val="游ゴシック"/>
        <family val="3"/>
        <charset val="128"/>
        <scheme val="minor"/>
      </rPr>
      <t>×100</t>
    </r>
    <phoneticPr fontId="2"/>
  </si>
  <si>
    <t>②、Xy：年間処理脱水汚泥量(t-wet/年)</t>
    <rPh sb="9" eb="11">
      <t>ダッスイ</t>
    </rPh>
    <phoneticPr fontId="2"/>
  </si>
  <si>
    <t>維持管理費（灰処分費）</t>
    <rPh sb="0" eb="2">
      <t>イジ</t>
    </rPh>
    <rPh sb="2" eb="5">
      <t>カンリヒ</t>
    </rPh>
    <phoneticPr fontId="2"/>
  </si>
  <si>
    <r>
      <t>Y=Xy</t>
    </r>
    <r>
      <rPr>
        <sz val="11"/>
        <color theme="1"/>
        <rFont val="游ゴシック"/>
        <family val="3"/>
        <charset val="128"/>
        <scheme val="minor"/>
      </rPr>
      <t>×</t>
    </r>
    <r>
      <rPr>
        <sz val="11"/>
        <color theme="1"/>
        <rFont val="游ゴシック"/>
        <family val="2"/>
        <charset val="128"/>
        <scheme val="minor"/>
      </rPr>
      <t>(1-含水率)×(1-有機分率)÷(1-灰含水率)×処分単価</t>
    </r>
    <rPh sb="8" eb="10">
      <t>ガンスイ</t>
    </rPh>
    <rPh sb="10" eb="11">
      <t>リツ</t>
    </rPh>
    <rPh sb="16" eb="18">
      <t>ユウキ</t>
    </rPh>
    <rPh sb="18" eb="20">
      <t>ブンリツ</t>
    </rPh>
    <rPh sb="25" eb="26">
      <t>ハイ</t>
    </rPh>
    <rPh sb="26" eb="28">
      <t>ガンスイ</t>
    </rPh>
    <rPh sb="28" eb="29">
      <t>リツ</t>
    </rPh>
    <rPh sb="31" eb="33">
      <t>ショブン</t>
    </rPh>
    <rPh sb="33" eb="35">
      <t>タンカ</t>
    </rPh>
    <phoneticPr fontId="2"/>
  </si>
  <si>
    <t>③、灰含水率：30％</t>
    <rPh sb="2" eb="3">
      <t>ハイ</t>
    </rPh>
    <rPh sb="3" eb="5">
      <t>ガンスイ</t>
    </rPh>
    <rPh sb="5" eb="6">
      <t>リツ</t>
    </rPh>
    <phoneticPr fontId="2"/>
  </si>
  <si>
    <t>建設費合計</t>
    <rPh sb="0" eb="3">
      <t>ケンセツヒ</t>
    </rPh>
    <rPh sb="3" eb="5">
      <t>ゴウケイ</t>
    </rPh>
    <phoneticPr fontId="2"/>
  </si>
  <si>
    <t>ａ：㋐+㋑+㋒+㋓+㋔</t>
    <phoneticPr fontId="2"/>
  </si>
  <si>
    <t>建設費年価</t>
    <rPh sb="0" eb="3">
      <t>ケンセツヒ</t>
    </rPh>
    <rPh sb="3" eb="4">
      <t>ネン</t>
    </rPh>
    <rPh sb="4" eb="5">
      <t>カ</t>
    </rPh>
    <phoneticPr fontId="2"/>
  </si>
  <si>
    <r>
      <t>Y=工種別建設費×i(1+i)</t>
    </r>
    <r>
      <rPr>
        <vertAlign val="superscript"/>
        <sz val="11"/>
        <color theme="1"/>
        <rFont val="游ゴシック"/>
        <family val="3"/>
        <charset val="128"/>
        <scheme val="minor"/>
      </rPr>
      <t>n</t>
    </r>
    <r>
      <rPr>
        <sz val="11"/>
        <color theme="1"/>
        <rFont val="游ゴシック"/>
        <family val="2"/>
        <charset val="128"/>
        <scheme val="minor"/>
      </rPr>
      <t>/{(1+i)</t>
    </r>
    <r>
      <rPr>
        <vertAlign val="superscript"/>
        <sz val="11"/>
        <color theme="1"/>
        <rFont val="游ゴシック"/>
        <family val="3"/>
        <charset val="128"/>
        <scheme val="minor"/>
      </rPr>
      <t>n</t>
    </r>
    <r>
      <rPr>
        <sz val="11"/>
        <color theme="1"/>
        <rFont val="游ゴシック"/>
        <family val="2"/>
        <charset val="128"/>
        <scheme val="minor"/>
      </rPr>
      <t>-1}</t>
    </r>
    <rPh sb="2" eb="5">
      <t>コウシュベツ</t>
    </rPh>
    <rPh sb="5" eb="8">
      <t>ケンセツヒ</t>
    </rPh>
    <phoneticPr fontId="2"/>
  </si>
  <si>
    <t>ｂ、i：利子率、n：耐用年数
※工種別に年価を算出し、合計する。</t>
    <rPh sb="4" eb="7">
      <t>リシリツ</t>
    </rPh>
    <rPh sb="10" eb="12">
      <t>タイヨウ</t>
    </rPh>
    <rPh sb="12" eb="14">
      <t>ネンスウ</t>
    </rPh>
    <rPh sb="23" eb="25">
      <t>サンシュツ</t>
    </rPh>
    <phoneticPr fontId="2"/>
  </si>
  <si>
    <t>利子率(％)</t>
    <rPh sb="0" eb="2">
      <t>リシ</t>
    </rPh>
    <rPh sb="2" eb="3">
      <t>リツ</t>
    </rPh>
    <phoneticPr fontId="2"/>
  </si>
  <si>
    <t>対象年数(年)</t>
    <rPh sb="0" eb="2">
      <t>タイショウ</t>
    </rPh>
    <rPh sb="2" eb="4">
      <t>ネンスウ</t>
    </rPh>
    <rPh sb="5" eb="6">
      <t>ネン</t>
    </rPh>
    <phoneticPr fontId="2"/>
  </si>
  <si>
    <t>維持管理費合計
(電力、燃料、薬品費、灰処分費、補修費、人件費)</t>
    <rPh sb="0" eb="2">
      <t>イジ</t>
    </rPh>
    <rPh sb="2" eb="5">
      <t>カンリヒ</t>
    </rPh>
    <rPh sb="5" eb="7">
      <t>ゴウケイ</t>
    </rPh>
    <rPh sb="9" eb="11">
      <t>デンリョク</t>
    </rPh>
    <rPh sb="12" eb="14">
      <t>ネンリョウ</t>
    </rPh>
    <rPh sb="15" eb="17">
      <t>ヤクヒン</t>
    </rPh>
    <rPh sb="17" eb="18">
      <t>ヒ</t>
    </rPh>
    <rPh sb="19" eb="20">
      <t>ハイ</t>
    </rPh>
    <rPh sb="20" eb="22">
      <t>ショブン</t>
    </rPh>
    <rPh sb="22" eb="23">
      <t>ヒ</t>
    </rPh>
    <rPh sb="24" eb="27">
      <t>ホシュウヒ</t>
    </rPh>
    <rPh sb="28" eb="31">
      <t>ジンケンヒ</t>
    </rPh>
    <phoneticPr fontId="2"/>
  </si>
  <si>
    <t>ｃ：①+②+③</t>
    <phoneticPr fontId="2"/>
  </si>
  <si>
    <t>土木建築施設</t>
    <rPh sb="0" eb="2">
      <t>ドボク</t>
    </rPh>
    <rPh sb="2" eb="4">
      <t>ケンチク</t>
    </rPh>
    <rPh sb="4" eb="6">
      <t>シセツ</t>
    </rPh>
    <phoneticPr fontId="2"/>
  </si>
  <si>
    <t>焼却機械設備</t>
    <rPh sb="0" eb="2">
      <t>ショウキャク</t>
    </rPh>
    <rPh sb="2" eb="4">
      <t>キカイ</t>
    </rPh>
    <rPh sb="4" eb="6">
      <t>セツビ</t>
    </rPh>
    <phoneticPr fontId="2"/>
  </si>
  <si>
    <t>解体撤去費</t>
    <rPh sb="0" eb="2">
      <t>カイタイ</t>
    </rPh>
    <rPh sb="2" eb="4">
      <t>テッキョ</t>
    </rPh>
    <rPh sb="4" eb="5">
      <t>ヒ</t>
    </rPh>
    <phoneticPr fontId="2"/>
  </si>
  <si>
    <t>建設費×10％</t>
    <rPh sb="0" eb="3">
      <t>ケンセツヒ</t>
    </rPh>
    <phoneticPr fontId="2"/>
  </si>
  <si>
    <t>ｄ：ａ×10％</t>
    <phoneticPr fontId="2"/>
  </si>
  <si>
    <t>その他機械設備</t>
    <rPh sb="2" eb="3">
      <t>ホカ</t>
    </rPh>
    <rPh sb="3" eb="5">
      <t>キカイ</t>
    </rPh>
    <rPh sb="5" eb="7">
      <t>セツビ</t>
    </rPh>
    <phoneticPr fontId="2"/>
  </si>
  <si>
    <t>総費用(年価換算値)</t>
    <rPh sb="0" eb="3">
      <t>ソウヒヨウ</t>
    </rPh>
    <rPh sb="4" eb="5">
      <t>トシ</t>
    </rPh>
    <rPh sb="5" eb="6">
      <t>アタイ</t>
    </rPh>
    <rPh sb="6" eb="8">
      <t>カンサン</t>
    </rPh>
    <rPh sb="8" eb="9">
      <t>アタイ</t>
    </rPh>
    <phoneticPr fontId="2"/>
  </si>
  <si>
    <t>Ａ：ｂ+ｃ+ｄ</t>
    <phoneticPr fontId="2"/>
  </si>
  <si>
    <t>電気設備</t>
    <rPh sb="0" eb="2">
      <t>デンキ</t>
    </rPh>
    <rPh sb="2" eb="4">
      <t>セツビ</t>
    </rPh>
    <phoneticPr fontId="2"/>
  </si>
  <si>
    <t>革新的技術</t>
    <rPh sb="0" eb="3">
      <t>カクシンテキ</t>
    </rPh>
    <rPh sb="3" eb="5">
      <t>ギジュツ</t>
    </rPh>
    <phoneticPr fontId="2"/>
  </si>
  <si>
    <r>
      <t>Y</t>
    </r>
    <r>
      <rPr>
        <sz val="11"/>
        <color theme="1"/>
        <rFont val="游ゴシック"/>
        <family val="2"/>
        <charset val="128"/>
        <scheme val="minor"/>
      </rPr>
      <t>=3.365Xd+444.3</t>
    </r>
    <phoneticPr fontId="2"/>
  </si>
  <si>
    <t>㋕</t>
    <phoneticPr fontId="2"/>
  </si>
  <si>
    <t>維持管理費（消費電力）</t>
    <rPh sb="0" eb="2">
      <t>イジ</t>
    </rPh>
    <rPh sb="2" eb="5">
      <t>カンリヒ</t>
    </rPh>
    <rPh sb="6" eb="8">
      <t>ショウヒ</t>
    </rPh>
    <rPh sb="8" eb="10">
      <t>デンリョク</t>
    </rPh>
    <phoneticPr fontId="2"/>
  </si>
  <si>
    <t>消費電力量
（MWh/年）</t>
    <rPh sb="0" eb="2">
      <t>ショウヒ</t>
    </rPh>
    <rPh sb="2" eb="4">
      <t>デンリョク</t>
    </rPh>
    <rPh sb="4" eb="5">
      <t>リョウ</t>
    </rPh>
    <rPh sb="11" eb="12">
      <t>ネン</t>
    </rPh>
    <phoneticPr fontId="2"/>
  </si>
  <si>
    <t>Y=4.654Xd</t>
    <phoneticPr fontId="2"/>
  </si>
  <si>
    <t>Xd:設備規模(wet-t/日)</t>
    <phoneticPr fontId="2"/>
  </si>
  <si>
    <r>
      <t>Y=消費電力量(MWh/年)×単価(円/kWh)×10</t>
    </r>
    <r>
      <rPr>
        <vertAlign val="superscript"/>
        <sz val="11"/>
        <rFont val="游ゴシック"/>
        <family val="3"/>
        <charset val="128"/>
        <scheme val="minor"/>
      </rPr>
      <t>-3</t>
    </r>
    <rPh sb="2" eb="4">
      <t>ショウヒ</t>
    </rPh>
    <rPh sb="4" eb="7">
      <t>デンリョクリョウ</t>
    </rPh>
    <rPh sb="12" eb="13">
      <t>ネン</t>
    </rPh>
    <rPh sb="15" eb="17">
      <t>タンカ</t>
    </rPh>
    <rPh sb="18" eb="19">
      <t>エン</t>
    </rPh>
    <phoneticPr fontId="2"/>
  </si>
  <si>
    <t>④</t>
    <phoneticPr fontId="2"/>
  </si>
  <si>
    <t>維持管理費（薬品費・高分子凝集剤）</t>
    <rPh sb="0" eb="2">
      <t>イジ</t>
    </rPh>
    <rPh sb="2" eb="5">
      <t>カンリヒ</t>
    </rPh>
    <rPh sb="6" eb="8">
      <t>ヤクヒン</t>
    </rPh>
    <rPh sb="8" eb="9">
      <t>ヒ</t>
    </rPh>
    <rPh sb="13" eb="15">
      <t>ギョウシュウ</t>
    </rPh>
    <rPh sb="15" eb="16">
      <t>ザイ</t>
    </rPh>
    <phoneticPr fontId="2"/>
  </si>
  <si>
    <t>薬品使用量
（t/年）</t>
    <rPh sb="0" eb="2">
      <t>ヤクヒン</t>
    </rPh>
    <rPh sb="2" eb="5">
      <t>シヨウリョウ</t>
    </rPh>
    <rPh sb="9" eb="10">
      <t>ネン</t>
    </rPh>
    <phoneticPr fontId="2"/>
  </si>
  <si>
    <t>Y=0.516Xd</t>
    <phoneticPr fontId="2"/>
  </si>
  <si>
    <t>注入率：0.7%－TS</t>
    <rPh sb="0" eb="1">
      <t>チュウ</t>
    </rPh>
    <rPh sb="2" eb="3">
      <t>リツ</t>
    </rPh>
    <phoneticPr fontId="2"/>
  </si>
  <si>
    <r>
      <t>Y=薬品使用量(t/年)×単価(円/t)×10</t>
    </r>
    <r>
      <rPr>
        <vertAlign val="superscript"/>
        <sz val="11"/>
        <rFont val="游ゴシック"/>
        <family val="3"/>
        <charset val="128"/>
        <scheme val="minor"/>
      </rPr>
      <t>-3</t>
    </r>
    <rPh sb="2" eb="4">
      <t>ヤクヒン</t>
    </rPh>
    <rPh sb="4" eb="7">
      <t>シヨウリョウ</t>
    </rPh>
    <rPh sb="10" eb="11">
      <t>ネン</t>
    </rPh>
    <rPh sb="13" eb="15">
      <t>タンカ</t>
    </rPh>
    <rPh sb="16" eb="17">
      <t>エン</t>
    </rPh>
    <phoneticPr fontId="2"/>
  </si>
  <si>
    <t>⑤</t>
    <phoneticPr fontId="2"/>
  </si>
  <si>
    <t>維持管理費（薬品費・ポリ硫酸第二鉄）</t>
    <rPh sb="0" eb="2">
      <t>イジ</t>
    </rPh>
    <rPh sb="2" eb="5">
      <t>カンリヒ</t>
    </rPh>
    <rPh sb="6" eb="8">
      <t>ヤクヒン</t>
    </rPh>
    <rPh sb="8" eb="9">
      <t>ヒ</t>
    </rPh>
    <rPh sb="12" eb="14">
      <t>リュウサン</t>
    </rPh>
    <rPh sb="14" eb="16">
      <t>ダイニ</t>
    </rPh>
    <rPh sb="16" eb="17">
      <t>テツ</t>
    </rPh>
    <phoneticPr fontId="2"/>
  </si>
  <si>
    <t>Y=3.688Xd</t>
    <phoneticPr fontId="2"/>
  </si>
  <si>
    <t>注入率：5%－TS</t>
    <rPh sb="0" eb="1">
      <t>チュウ</t>
    </rPh>
    <rPh sb="2" eb="3">
      <t>リツ</t>
    </rPh>
    <phoneticPr fontId="2"/>
  </si>
  <si>
    <t>⑥</t>
    <phoneticPr fontId="2"/>
  </si>
  <si>
    <t>燃焼設備</t>
    <rPh sb="0" eb="2">
      <t>ネンショウ</t>
    </rPh>
    <rPh sb="2" eb="4">
      <t>セツビ</t>
    </rPh>
    <phoneticPr fontId="2"/>
  </si>
  <si>
    <t>Y=0.438Xd+117</t>
    <phoneticPr fontId="2"/>
  </si>
  <si>
    <t>㋖</t>
    <phoneticPr fontId="2"/>
  </si>
  <si>
    <t>Y=9.000Xd+1,533</t>
    <phoneticPr fontId="2"/>
  </si>
  <si>
    <t>㋗</t>
    <phoneticPr fontId="2"/>
  </si>
  <si>
    <t>Y=1.000Xd+600</t>
    <phoneticPr fontId="2"/>
  </si>
  <si>
    <t>㋘</t>
    <phoneticPr fontId="2"/>
  </si>
  <si>
    <t>Y=15.26Xd+115</t>
    <phoneticPr fontId="2"/>
  </si>
  <si>
    <t>⑦</t>
    <phoneticPr fontId="2"/>
  </si>
  <si>
    <t>維持管理費（補助燃料費）</t>
    <rPh sb="0" eb="2">
      <t>イジ</t>
    </rPh>
    <rPh sb="2" eb="5">
      <t>カンリヒ</t>
    </rPh>
    <rPh sb="6" eb="8">
      <t>ホジョ</t>
    </rPh>
    <rPh sb="8" eb="10">
      <t>ネンリョウ</t>
    </rPh>
    <rPh sb="10" eb="11">
      <t>ヒ</t>
    </rPh>
    <phoneticPr fontId="2"/>
  </si>
  <si>
    <t>燃料使用量
（kL/年）</t>
    <rPh sb="0" eb="2">
      <t>ネンリョウ</t>
    </rPh>
    <rPh sb="2" eb="5">
      <t>シヨウリョウ</t>
    </rPh>
    <rPh sb="10" eb="11">
      <t>ネン</t>
    </rPh>
    <phoneticPr fontId="2"/>
  </si>
  <si>
    <t>Y=0.252Xd+1.439</t>
    <phoneticPr fontId="2"/>
  </si>
  <si>
    <t>補助燃料種類：A重油</t>
    <rPh sb="0" eb="2">
      <t>ホジョ</t>
    </rPh>
    <rPh sb="2" eb="4">
      <t>ネンリョウ</t>
    </rPh>
    <rPh sb="4" eb="6">
      <t>シュルイ</t>
    </rPh>
    <rPh sb="8" eb="10">
      <t>ジュウユ</t>
    </rPh>
    <phoneticPr fontId="2"/>
  </si>
  <si>
    <r>
      <t>Y=燃料使用量(kL/年)×単価(円/L)×10</t>
    </r>
    <r>
      <rPr>
        <vertAlign val="superscript"/>
        <sz val="11"/>
        <rFont val="游ゴシック"/>
        <family val="3"/>
        <charset val="128"/>
        <scheme val="minor"/>
      </rPr>
      <t>-3</t>
    </r>
    <rPh sb="2" eb="4">
      <t>ネンリョウ</t>
    </rPh>
    <rPh sb="4" eb="7">
      <t>シヨウリョウ</t>
    </rPh>
    <rPh sb="11" eb="12">
      <t>ネン</t>
    </rPh>
    <rPh sb="14" eb="16">
      <t>タンカ</t>
    </rPh>
    <rPh sb="17" eb="18">
      <t>エン</t>
    </rPh>
    <phoneticPr fontId="2"/>
  </si>
  <si>
    <t>⑧</t>
    <phoneticPr fontId="2"/>
  </si>
  <si>
    <t>維持管理費（薬品費・苛性ソーダ）</t>
    <rPh sb="0" eb="2">
      <t>イジ</t>
    </rPh>
    <rPh sb="2" eb="5">
      <t>カンリヒ</t>
    </rPh>
    <rPh sb="6" eb="8">
      <t>ヤクヒン</t>
    </rPh>
    <rPh sb="8" eb="9">
      <t>ヒ</t>
    </rPh>
    <rPh sb="10" eb="12">
      <t>カセイ</t>
    </rPh>
    <phoneticPr fontId="2"/>
  </si>
  <si>
    <t>苛性使用量
（t/年）</t>
    <rPh sb="0" eb="2">
      <t>カセイ</t>
    </rPh>
    <rPh sb="2" eb="5">
      <t>シヨウリョウ</t>
    </rPh>
    <rPh sb="9" eb="10">
      <t>ネン</t>
    </rPh>
    <phoneticPr fontId="2"/>
  </si>
  <si>
    <t>Y=4.050Xd</t>
    <phoneticPr fontId="2"/>
  </si>
  <si>
    <t>48％濃度NaOH</t>
    <rPh sb="3" eb="5">
      <t>ノウド</t>
    </rPh>
    <phoneticPr fontId="2"/>
  </si>
  <si>
    <r>
      <t>Y=苛性使用量(t/年)×単価(円/㎏)×10</t>
    </r>
    <r>
      <rPr>
        <vertAlign val="superscript"/>
        <sz val="11"/>
        <rFont val="游ゴシック"/>
        <family val="3"/>
        <charset val="128"/>
        <scheme val="minor"/>
      </rPr>
      <t>-3</t>
    </r>
    <rPh sb="2" eb="4">
      <t>カセイ</t>
    </rPh>
    <rPh sb="4" eb="7">
      <t>シヨウリョウ</t>
    </rPh>
    <rPh sb="10" eb="11">
      <t>ネン</t>
    </rPh>
    <rPh sb="13" eb="15">
      <t>タンカ</t>
    </rPh>
    <rPh sb="16" eb="17">
      <t>エン</t>
    </rPh>
    <phoneticPr fontId="2"/>
  </si>
  <si>
    <t>⑨</t>
    <phoneticPr fontId="2"/>
  </si>
  <si>
    <t>維持管理費（灰処分費）</t>
    <rPh sb="0" eb="2">
      <t>イジ</t>
    </rPh>
    <rPh sb="2" eb="5">
      <t>カンリヒ</t>
    </rPh>
    <rPh sb="6" eb="7">
      <t>ハイ</t>
    </rPh>
    <rPh sb="7" eb="9">
      <t>ショブン</t>
    </rPh>
    <rPh sb="9" eb="10">
      <t>ヒ</t>
    </rPh>
    <phoneticPr fontId="2"/>
  </si>
  <si>
    <t>灰発生量
（t/年）</t>
    <rPh sb="0" eb="1">
      <t>ハイ</t>
    </rPh>
    <rPh sb="1" eb="3">
      <t>ハッセイ</t>
    </rPh>
    <rPh sb="3" eb="4">
      <t>リョウ</t>
    </rPh>
    <rPh sb="8" eb="9">
      <t>ネン</t>
    </rPh>
    <phoneticPr fontId="2"/>
  </si>
  <si>
    <t>Y=17.101Xd</t>
    <phoneticPr fontId="2"/>
  </si>
  <si>
    <r>
      <t>Y=灰発生量(t/年)×処分単価(円/t)×10</t>
    </r>
    <r>
      <rPr>
        <vertAlign val="superscript"/>
        <sz val="11"/>
        <rFont val="游ゴシック"/>
        <family val="3"/>
        <charset val="128"/>
        <scheme val="minor"/>
      </rPr>
      <t>-6</t>
    </r>
    <rPh sb="2" eb="3">
      <t>ハイ</t>
    </rPh>
    <rPh sb="3" eb="5">
      <t>ハッセイ</t>
    </rPh>
    <rPh sb="5" eb="6">
      <t>リョウ</t>
    </rPh>
    <rPh sb="9" eb="10">
      <t>ネン</t>
    </rPh>
    <rPh sb="12" eb="14">
      <t>ショブン</t>
    </rPh>
    <rPh sb="14" eb="16">
      <t>タンカ</t>
    </rPh>
    <rPh sb="17" eb="18">
      <t>エン</t>
    </rPh>
    <phoneticPr fontId="2"/>
  </si>
  <si>
    <t>⑩</t>
    <phoneticPr fontId="2"/>
  </si>
  <si>
    <t>発電設備</t>
    <rPh sb="0" eb="2">
      <t>ハツデン</t>
    </rPh>
    <rPh sb="2" eb="4">
      <t>セツビ</t>
    </rPh>
    <phoneticPr fontId="2"/>
  </si>
  <si>
    <t>Y=0.772Xd+282</t>
    <phoneticPr fontId="2"/>
  </si>
  <si>
    <t>㋙</t>
    <phoneticPr fontId="2"/>
  </si>
  <si>
    <t>Y=0.320Xd+57.44</t>
    <phoneticPr fontId="2"/>
  </si>
  <si>
    <t>⑪</t>
    <phoneticPr fontId="2"/>
  </si>
  <si>
    <t>エネルギー総出量（発電量）</t>
    <rPh sb="5" eb="6">
      <t>ソウ</t>
    </rPh>
    <rPh sb="6" eb="8">
      <t>シュツリョウ</t>
    </rPh>
    <rPh sb="9" eb="11">
      <t>ハツデン</t>
    </rPh>
    <rPh sb="11" eb="12">
      <t>リョウ</t>
    </rPh>
    <phoneticPr fontId="2"/>
  </si>
  <si>
    <t>発電量
（MWh/年）</t>
    <rPh sb="0" eb="2">
      <t>ハツデン</t>
    </rPh>
    <rPh sb="2" eb="3">
      <t>リョウ</t>
    </rPh>
    <rPh sb="3" eb="4">
      <t>リキリョウ</t>
    </rPh>
    <rPh sb="9" eb="10">
      <t>ネン</t>
    </rPh>
    <phoneticPr fontId="2"/>
  </si>
  <si>
    <t>Y=13.04Xd-275.1</t>
    <phoneticPr fontId="2"/>
  </si>
  <si>
    <r>
      <t>Y=発電量(MWh/年)×単価(円/kWh)×10</t>
    </r>
    <r>
      <rPr>
        <vertAlign val="superscript"/>
        <sz val="11"/>
        <color theme="1"/>
        <rFont val="游ゴシック"/>
        <family val="3"/>
        <charset val="128"/>
        <scheme val="minor"/>
      </rPr>
      <t>-3</t>
    </r>
    <rPh sb="2" eb="4">
      <t>ハツデン</t>
    </rPh>
    <rPh sb="4" eb="5">
      <t>リョウ</t>
    </rPh>
    <rPh sb="10" eb="11">
      <t>ネン</t>
    </rPh>
    <rPh sb="13" eb="15">
      <t>タンカ</t>
    </rPh>
    <rPh sb="16" eb="17">
      <t>エン</t>
    </rPh>
    <phoneticPr fontId="2"/>
  </si>
  <si>
    <t>⑫</t>
    <phoneticPr fontId="2"/>
  </si>
  <si>
    <t>ｅ：㋕+㋖+㋗+㋘+㋙</t>
    <phoneticPr fontId="2"/>
  </si>
  <si>
    <r>
      <t>Y=工種別建設費×i(1-i)</t>
    </r>
    <r>
      <rPr>
        <vertAlign val="superscript"/>
        <sz val="11"/>
        <color theme="1"/>
        <rFont val="游ゴシック"/>
        <family val="3"/>
        <charset val="128"/>
        <scheme val="minor"/>
      </rPr>
      <t>n</t>
    </r>
    <r>
      <rPr>
        <sz val="11"/>
        <color theme="1"/>
        <rFont val="游ゴシック"/>
        <family val="2"/>
        <charset val="128"/>
        <scheme val="minor"/>
      </rPr>
      <t>/{(1+i)</t>
    </r>
    <r>
      <rPr>
        <vertAlign val="superscript"/>
        <sz val="11"/>
        <color theme="1"/>
        <rFont val="游ゴシック"/>
        <family val="3"/>
        <charset val="128"/>
        <scheme val="minor"/>
      </rPr>
      <t>n</t>
    </r>
    <r>
      <rPr>
        <sz val="11"/>
        <color theme="1"/>
        <rFont val="游ゴシック"/>
        <family val="2"/>
        <charset val="128"/>
        <scheme val="minor"/>
      </rPr>
      <t>-1}</t>
    </r>
    <rPh sb="2" eb="4">
      <t>コウシュ</t>
    </rPh>
    <rPh sb="4" eb="5">
      <t>ベツ</t>
    </rPh>
    <rPh sb="5" eb="8">
      <t>ケンセツヒ</t>
    </rPh>
    <phoneticPr fontId="2"/>
  </si>
  <si>
    <t>ｆ、i：利子率、n：耐用年数
※工種別に年価を算出し、合計する。</t>
    <rPh sb="4" eb="7">
      <t>リシリツ</t>
    </rPh>
    <rPh sb="10" eb="12">
      <t>タイヨウ</t>
    </rPh>
    <rPh sb="12" eb="14">
      <t>ネンスウ</t>
    </rPh>
    <rPh sb="23" eb="25">
      <t>サンシュツ</t>
    </rPh>
    <phoneticPr fontId="2"/>
  </si>
  <si>
    <t>その他</t>
    <rPh sb="2" eb="3">
      <t>ホカ</t>
    </rPh>
    <phoneticPr fontId="2"/>
  </si>
  <si>
    <t>維持管理費（点検補修費）</t>
    <rPh sb="0" eb="2">
      <t>イジ</t>
    </rPh>
    <rPh sb="2" eb="5">
      <t>カンリヒ</t>
    </rPh>
    <rPh sb="6" eb="8">
      <t>テンケン</t>
    </rPh>
    <rPh sb="8" eb="10">
      <t>ホシュウ</t>
    </rPh>
    <rPh sb="10" eb="11">
      <t>ヒ</t>
    </rPh>
    <phoneticPr fontId="2"/>
  </si>
  <si>
    <t>脱水・燃焼設備：建設費×2.4％
発電設備：建設費×1.3％</t>
    <rPh sb="0" eb="2">
      <t>ダッスイ</t>
    </rPh>
    <rPh sb="3" eb="5">
      <t>ネンショウ</t>
    </rPh>
    <rPh sb="5" eb="7">
      <t>セツビ</t>
    </rPh>
    <rPh sb="8" eb="11">
      <t>ケンセツヒ</t>
    </rPh>
    <rPh sb="17" eb="19">
      <t>ハツデン</t>
    </rPh>
    <rPh sb="19" eb="21">
      <t>セツビ</t>
    </rPh>
    <rPh sb="22" eb="25">
      <t>ケンセツヒ</t>
    </rPh>
    <phoneticPr fontId="2"/>
  </si>
  <si>
    <t>⑬</t>
    <phoneticPr fontId="2"/>
  </si>
  <si>
    <t>維持管理費（人件費）</t>
    <rPh sb="0" eb="2">
      <t>イジ</t>
    </rPh>
    <rPh sb="2" eb="5">
      <t>カンリヒ</t>
    </rPh>
    <rPh sb="6" eb="9">
      <t>ジンケンヒ</t>
    </rPh>
    <phoneticPr fontId="2"/>
  </si>
  <si>
    <t>主任(700万円/年)×１名＋作業員(400万円/年)×１２名</t>
    <rPh sb="0" eb="2">
      <t>シュニン</t>
    </rPh>
    <rPh sb="6" eb="8">
      <t>マンエン</t>
    </rPh>
    <rPh sb="9" eb="10">
      <t>ネン</t>
    </rPh>
    <rPh sb="13" eb="14">
      <t>メイ</t>
    </rPh>
    <rPh sb="15" eb="18">
      <t>サギョウイン</t>
    </rPh>
    <rPh sb="22" eb="24">
      <t>マンエン</t>
    </rPh>
    <rPh sb="25" eb="26">
      <t>ネン</t>
    </rPh>
    <rPh sb="30" eb="31">
      <t>メイ</t>
    </rPh>
    <phoneticPr fontId="2"/>
  </si>
  <si>
    <t>⑭</t>
    <phoneticPr fontId="2"/>
  </si>
  <si>
    <t>ｇ：④+⑤+⑥+⑦+⑧+⑨+⑩+⑪+⑬+⑭ー⑫</t>
    <phoneticPr fontId="2"/>
  </si>
  <si>
    <t>ｈ：ｅ×10％</t>
    <phoneticPr fontId="2"/>
  </si>
  <si>
    <t>Ｂ：ｆ+ｇ+ｈ</t>
    <phoneticPr fontId="2"/>
  </si>
  <si>
    <t>総費用（年価換算値）削減効果</t>
    <rPh sb="0" eb="3">
      <t>ソウヒヨウ</t>
    </rPh>
    <rPh sb="4" eb="6">
      <t>ネンカ</t>
    </rPh>
    <rPh sb="6" eb="8">
      <t>カンサン</t>
    </rPh>
    <rPh sb="8" eb="9">
      <t>チ</t>
    </rPh>
    <rPh sb="10" eb="12">
      <t>サクゲン</t>
    </rPh>
    <rPh sb="12" eb="14">
      <t>コウカ</t>
    </rPh>
    <phoneticPr fontId="2"/>
  </si>
  <si>
    <t>％</t>
    <phoneticPr fontId="2"/>
  </si>
  <si>
    <t>(１-Ｂ/Ａ)×100</t>
    <phoneticPr fontId="2"/>
  </si>
  <si>
    <t>エネルギー削減効果</t>
    <rPh sb="5" eb="7">
      <t>サクゲン</t>
    </rPh>
    <rPh sb="7" eb="9">
      <t>コウカ</t>
    </rPh>
    <phoneticPr fontId="2"/>
  </si>
  <si>
    <t>費用関数</t>
    <phoneticPr fontId="2"/>
  </si>
  <si>
    <t>電力</t>
    <rPh sb="0" eb="2">
      <t>デンリョク</t>
    </rPh>
    <phoneticPr fontId="2"/>
  </si>
  <si>
    <t>備考</t>
    <phoneticPr fontId="2"/>
  </si>
  <si>
    <t>消費電力量（脱水設備）</t>
    <rPh sb="0" eb="2">
      <t>ショウヒ</t>
    </rPh>
    <rPh sb="2" eb="4">
      <t>デンリョク</t>
    </rPh>
    <rPh sb="4" eb="5">
      <t>リョウ</t>
    </rPh>
    <rPh sb="6" eb="8">
      <t>ダッスイ</t>
    </rPh>
    <rPh sb="8" eb="10">
      <t>セツビ</t>
    </rPh>
    <phoneticPr fontId="2"/>
  </si>
  <si>
    <t>ＭWh/年</t>
    <rPh sb="4" eb="5">
      <t>ネン</t>
    </rPh>
    <phoneticPr fontId="2"/>
  </si>
  <si>
    <t>実績値(セルD10)</t>
    <rPh sb="0" eb="2">
      <t>ジッセキ</t>
    </rPh>
    <rPh sb="2" eb="3">
      <t>チ</t>
    </rPh>
    <phoneticPr fontId="2"/>
  </si>
  <si>
    <t>⑴</t>
    <phoneticPr fontId="2"/>
  </si>
  <si>
    <t>消費電力量（焼却設備）</t>
    <rPh sb="0" eb="2">
      <t>ショウヒ</t>
    </rPh>
    <rPh sb="2" eb="4">
      <t>デンリョク</t>
    </rPh>
    <rPh sb="4" eb="5">
      <t>リョウ</t>
    </rPh>
    <rPh sb="6" eb="8">
      <t>ショウキャク</t>
    </rPh>
    <rPh sb="8" eb="10">
      <t>セツビ</t>
    </rPh>
    <phoneticPr fontId="2"/>
  </si>
  <si>
    <t>実績値(セルD11)</t>
    <rPh sb="0" eb="2">
      <t>ジッセキ</t>
    </rPh>
    <rPh sb="2" eb="3">
      <t>チ</t>
    </rPh>
    <phoneticPr fontId="2"/>
  </si>
  <si>
    <t>⑵</t>
    <phoneticPr fontId="2"/>
  </si>
  <si>
    <t>補助燃料使用によるエネルギー消費量</t>
    <rPh sb="0" eb="2">
      <t>ホジョ</t>
    </rPh>
    <rPh sb="2" eb="4">
      <t>ネンリョウ</t>
    </rPh>
    <rPh sb="4" eb="6">
      <t>シヨウ</t>
    </rPh>
    <rPh sb="14" eb="17">
      <t>ショウヒリョウ</t>
    </rPh>
    <phoneticPr fontId="2"/>
  </si>
  <si>
    <t>燃料使用量</t>
    <rPh sb="0" eb="2">
      <t>ネンリョウ</t>
    </rPh>
    <rPh sb="2" eb="5">
      <t>シヨウリョウ</t>
    </rPh>
    <phoneticPr fontId="2"/>
  </si>
  <si>
    <t>実績値(セルD13)</t>
    <rPh sb="0" eb="2">
      <t>ジッセキ</t>
    </rPh>
    <rPh sb="2" eb="3">
      <t>チ</t>
    </rPh>
    <phoneticPr fontId="2"/>
  </si>
  <si>
    <t>補助燃料・エネルギー換算係数</t>
    <rPh sb="0" eb="2">
      <t>ホジョ</t>
    </rPh>
    <rPh sb="2" eb="4">
      <t>ネンリョウ</t>
    </rPh>
    <rPh sb="10" eb="12">
      <t>カンザン</t>
    </rPh>
    <rPh sb="12" eb="14">
      <t>ケイスウ</t>
    </rPh>
    <phoneticPr fontId="2"/>
  </si>
  <si>
    <t>Y=エネルギー使用量(GJ/年)×換算係数(kWh/MJ)</t>
    <rPh sb="7" eb="10">
      <t>シヨウリョウ</t>
    </rPh>
    <rPh sb="14" eb="15">
      <t>ネン</t>
    </rPh>
    <rPh sb="17" eb="19">
      <t>カンザン</t>
    </rPh>
    <rPh sb="19" eb="21">
      <t>ケイスウ</t>
    </rPh>
    <phoneticPr fontId="2"/>
  </si>
  <si>
    <t>⑶</t>
    <phoneticPr fontId="2"/>
  </si>
  <si>
    <t>換算係数(kWh/MJ)</t>
    <rPh sb="0" eb="2">
      <t>カンサン</t>
    </rPh>
    <rPh sb="2" eb="4">
      <t>ケイスウ</t>
    </rPh>
    <phoneticPr fontId="2"/>
  </si>
  <si>
    <t>合計</t>
    <rPh sb="0" eb="2">
      <t>ゴウケイ</t>
    </rPh>
    <phoneticPr fontId="2"/>
  </si>
  <si>
    <t>Ｃ：⑴+⑵+⑶</t>
    <phoneticPr fontId="2"/>
  </si>
  <si>
    <r>
      <t>Y</t>
    </r>
    <r>
      <rPr>
        <sz val="11"/>
        <color theme="1"/>
        <rFont val="游ゴシック"/>
        <family val="2"/>
        <charset val="128"/>
        <scheme val="minor"/>
      </rPr>
      <t>=4.654Xd</t>
    </r>
    <phoneticPr fontId="2"/>
  </si>
  <si>
    <t>⑷</t>
    <phoneticPr fontId="2"/>
  </si>
  <si>
    <r>
      <t>Y</t>
    </r>
    <r>
      <rPr>
        <sz val="11"/>
        <color theme="1"/>
        <rFont val="游ゴシック"/>
        <family val="2"/>
        <charset val="128"/>
        <scheme val="minor"/>
      </rPr>
      <t>=15.26Xd+115</t>
    </r>
    <phoneticPr fontId="2"/>
  </si>
  <si>
    <t>⑸</t>
    <phoneticPr fontId="2"/>
  </si>
  <si>
    <t>消費電力量（発電設備）</t>
    <rPh sb="0" eb="2">
      <t>ショウヒ</t>
    </rPh>
    <rPh sb="2" eb="4">
      <t>デンリョク</t>
    </rPh>
    <rPh sb="4" eb="5">
      <t>リョウ</t>
    </rPh>
    <rPh sb="6" eb="8">
      <t>ハツデン</t>
    </rPh>
    <rPh sb="8" eb="10">
      <t>セツビ</t>
    </rPh>
    <phoneticPr fontId="2"/>
  </si>
  <si>
    <r>
      <t>Y</t>
    </r>
    <r>
      <rPr>
        <sz val="11"/>
        <color theme="1"/>
        <rFont val="游ゴシック"/>
        <family val="2"/>
        <charset val="128"/>
        <scheme val="minor"/>
      </rPr>
      <t>=0.320Xd+57.44</t>
    </r>
    <phoneticPr fontId="2"/>
  </si>
  <si>
    <t>⑹</t>
    <phoneticPr fontId="2"/>
  </si>
  <si>
    <r>
      <t>Y</t>
    </r>
    <r>
      <rPr>
        <sz val="11"/>
        <color theme="1"/>
        <rFont val="游ゴシック"/>
        <family val="2"/>
        <charset val="128"/>
        <scheme val="minor"/>
      </rPr>
      <t>=0.252Xd+1.439</t>
    </r>
    <phoneticPr fontId="2"/>
  </si>
  <si>
    <t>Ａ重油・エネルギー換算係数
(MJ/L)</t>
    <rPh sb="9" eb="11">
      <t>カンザン</t>
    </rPh>
    <rPh sb="11" eb="13">
      <t>ケイスウ</t>
    </rPh>
    <phoneticPr fontId="2"/>
  </si>
  <si>
    <t>⑺</t>
    <phoneticPr fontId="2"/>
  </si>
  <si>
    <r>
      <t>Ｄ：</t>
    </r>
    <r>
      <rPr>
        <sz val="11"/>
        <rFont val="游ゴシック"/>
        <family val="3"/>
        <charset val="128"/>
      </rPr>
      <t>⑷+⑸+⑹+⑺</t>
    </r>
    <phoneticPr fontId="2"/>
  </si>
  <si>
    <t>エネルギー創出量</t>
    <rPh sb="5" eb="7">
      <t>ソウシュツ</t>
    </rPh>
    <phoneticPr fontId="2"/>
  </si>
  <si>
    <r>
      <t>Y</t>
    </r>
    <r>
      <rPr>
        <sz val="11"/>
        <color theme="1"/>
        <rFont val="游ゴシック"/>
        <family val="2"/>
        <charset val="128"/>
        <scheme val="minor"/>
      </rPr>
      <t>=13.04Xd-275.1</t>
    </r>
    <phoneticPr fontId="2"/>
  </si>
  <si>
    <t>Ｅ</t>
    <phoneticPr fontId="2"/>
  </si>
  <si>
    <t>{1-(Ｄ－Ｅ)/Ｃ}×100</t>
    <phoneticPr fontId="2"/>
  </si>
  <si>
    <t>温室効果ガス削減効果</t>
    <rPh sb="0" eb="2">
      <t>オンシツ</t>
    </rPh>
    <rPh sb="2" eb="4">
      <t>コウカ</t>
    </rPh>
    <rPh sb="6" eb="8">
      <t>サクゲン</t>
    </rPh>
    <rPh sb="8" eb="10">
      <t>コウカ</t>
    </rPh>
    <phoneticPr fontId="2"/>
  </si>
  <si>
    <t>GHG排出量</t>
    <rPh sb="3" eb="6">
      <t>ハイシュツリョウ</t>
    </rPh>
    <phoneticPr fontId="2"/>
  </si>
  <si>
    <t>消費電力由来GHG排出量</t>
    <rPh sb="0" eb="2">
      <t>ショウヒ</t>
    </rPh>
    <rPh sb="2" eb="4">
      <t>デンリョク</t>
    </rPh>
    <rPh sb="4" eb="6">
      <t>ユライ</t>
    </rPh>
    <rPh sb="9" eb="12">
      <t>ハイシュツリョウ</t>
    </rPh>
    <phoneticPr fontId="2"/>
  </si>
  <si>
    <t>Y=消費電力量(脱水設備)+消費電力量(焼却設備)</t>
    <rPh sb="2" eb="4">
      <t>ショウヒ</t>
    </rPh>
    <rPh sb="4" eb="6">
      <t>デンリョク</t>
    </rPh>
    <rPh sb="6" eb="7">
      <t>リョウ</t>
    </rPh>
    <rPh sb="8" eb="10">
      <t>ダッスイ</t>
    </rPh>
    <rPh sb="10" eb="12">
      <t>セツビ</t>
    </rPh>
    <rPh sb="20" eb="22">
      <t>ショウキャク</t>
    </rPh>
    <phoneticPr fontId="2"/>
  </si>
  <si>
    <t>⑴+⑵</t>
    <phoneticPr fontId="2"/>
  </si>
  <si>
    <t>GHG排出量原単位・電力
(t-CO2/MWh)</t>
    <rPh sb="3" eb="5">
      <t>ハイシュツ</t>
    </rPh>
    <rPh sb="5" eb="6">
      <t>リョウ</t>
    </rPh>
    <rPh sb="6" eb="9">
      <t>ゲンタンイ</t>
    </rPh>
    <rPh sb="10" eb="12">
      <t>デンリョク</t>
    </rPh>
    <phoneticPr fontId="2"/>
  </si>
  <si>
    <r>
      <t>t-CO</t>
    </r>
    <r>
      <rPr>
        <vertAlign val="subscript"/>
        <sz val="11"/>
        <color theme="1"/>
        <rFont val="游ゴシック"/>
        <family val="3"/>
        <charset val="128"/>
        <scheme val="minor"/>
      </rPr>
      <t>2</t>
    </r>
    <r>
      <rPr>
        <sz val="11"/>
        <color theme="1"/>
        <rFont val="游ゴシック"/>
        <family val="2"/>
        <charset val="128"/>
        <scheme val="minor"/>
      </rPr>
      <t>/年</t>
    </r>
    <rPh sb="6" eb="7">
      <t>ネン</t>
    </rPh>
    <phoneticPr fontId="2"/>
  </si>
  <si>
    <r>
      <t>Y=消費電力量(MWh/年)×GHG排出量原単位(t-CO</t>
    </r>
    <r>
      <rPr>
        <vertAlign val="subscript"/>
        <sz val="11"/>
        <color theme="1"/>
        <rFont val="游ゴシック"/>
        <family val="3"/>
        <charset val="128"/>
        <scheme val="minor"/>
      </rPr>
      <t>2</t>
    </r>
    <r>
      <rPr>
        <sz val="11"/>
        <color theme="1"/>
        <rFont val="游ゴシック"/>
        <family val="2"/>
        <charset val="128"/>
        <scheme val="minor"/>
      </rPr>
      <t>/MWh)</t>
    </r>
    <rPh sb="2" eb="4">
      <t>ショウヒ</t>
    </rPh>
    <rPh sb="4" eb="6">
      <t>デンリョク</t>
    </rPh>
    <rPh sb="6" eb="7">
      <t>リョウ</t>
    </rPh>
    <rPh sb="12" eb="13">
      <t>ネン</t>
    </rPh>
    <rPh sb="18" eb="20">
      <t>ハイシュツ</t>
    </rPh>
    <rPh sb="20" eb="21">
      <t>リョウ</t>
    </rPh>
    <rPh sb="21" eb="24">
      <t>ゲンタンイ</t>
    </rPh>
    <phoneticPr fontId="2"/>
  </si>
  <si>
    <t>❶</t>
    <phoneticPr fontId="2"/>
  </si>
  <si>
    <t>補助燃料由来GHG排出量</t>
    <rPh sb="0" eb="2">
      <t>ホジョ</t>
    </rPh>
    <rPh sb="2" eb="4">
      <t>ネンリョウ</t>
    </rPh>
    <rPh sb="4" eb="6">
      <t>ユライ</t>
    </rPh>
    <rPh sb="9" eb="11">
      <t>ハイシュツ</t>
    </rPh>
    <rPh sb="11" eb="12">
      <t>リョウ</t>
    </rPh>
    <phoneticPr fontId="2"/>
  </si>
  <si>
    <r>
      <t>t-CO</t>
    </r>
    <r>
      <rPr>
        <vertAlign val="subscript"/>
        <sz val="11"/>
        <rFont val="游ゴシック"/>
        <family val="3"/>
        <charset val="128"/>
        <scheme val="minor"/>
      </rPr>
      <t>2</t>
    </r>
    <r>
      <rPr>
        <sz val="11"/>
        <rFont val="游ゴシック"/>
        <family val="3"/>
        <charset val="128"/>
        <scheme val="minor"/>
      </rPr>
      <t>/年</t>
    </r>
    <rPh sb="6" eb="7">
      <t>ネン</t>
    </rPh>
    <phoneticPr fontId="2"/>
  </si>
  <si>
    <r>
      <t>Y=補助燃料使用量(L/年or m</t>
    </r>
    <r>
      <rPr>
        <vertAlign val="superscript"/>
        <sz val="11"/>
        <color theme="1"/>
        <rFont val="游ゴシック"/>
        <family val="3"/>
        <charset val="128"/>
        <scheme val="minor"/>
      </rPr>
      <t>3</t>
    </r>
    <r>
      <rPr>
        <sz val="11"/>
        <color theme="1"/>
        <rFont val="游ゴシック"/>
        <family val="2"/>
        <charset val="128"/>
        <scheme val="minor"/>
      </rPr>
      <t>/年)
×GHG排出量原単位(kg-CO</t>
    </r>
    <r>
      <rPr>
        <vertAlign val="subscript"/>
        <sz val="11"/>
        <color theme="1"/>
        <rFont val="游ゴシック"/>
        <family val="3"/>
        <charset val="128"/>
        <scheme val="minor"/>
      </rPr>
      <t>2</t>
    </r>
    <r>
      <rPr>
        <sz val="11"/>
        <color theme="1"/>
        <rFont val="游ゴシック"/>
        <family val="2"/>
        <charset val="128"/>
        <scheme val="minor"/>
      </rPr>
      <t>/Lor kg-CO2/m</t>
    </r>
    <r>
      <rPr>
        <vertAlign val="superscript"/>
        <sz val="11"/>
        <color theme="1"/>
        <rFont val="游ゴシック"/>
        <family val="3"/>
        <charset val="128"/>
        <scheme val="minor"/>
      </rPr>
      <t>3</t>
    </r>
    <r>
      <rPr>
        <sz val="11"/>
        <color theme="1"/>
        <rFont val="游ゴシック"/>
        <family val="2"/>
        <charset val="128"/>
        <scheme val="minor"/>
      </rPr>
      <t>)×10</t>
    </r>
    <r>
      <rPr>
        <vertAlign val="superscript"/>
        <sz val="11"/>
        <color theme="1"/>
        <rFont val="游ゴシック"/>
        <family val="3"/>
        <charset val="128"/>
        <scheme val="minor"/>
      </rPr>
      <t>-3</t>
    </r>
    <rPh sb="2" eb="4">
      <t>ホジョ</t>
    </rPh>
    <rPh sb="4" eb="6">
      <t>ネンリョウ</t>
    </rPh>
    <rPh sb="19" eb="20">
      <t>ネン</t>
    </rPh>
    <rPh sb="26" eb="28">
      <t>ハイシュツ</t>
    </rPh>
    <rPh sb="28" eb="29">
      <t>リョウ</t>
    </rPh>
    <rPh sb="29" eb="32">
      <t>ゲンタンイ</t>
    </rPh>
    <phoneticPr fontId="2"/>
  </si>
  <si>
    <t>❷</t>
    <phoneticPr fontId="2"/>
  </si>
  <si>
    <r>
      <t>GHG排出量原単位・補助燃料
(kg-CO2/L or m</t>
    </r>
    <r>
      <rPr>
        <vertAlign val="superscript"/>
        <sz val="11"/>
        <color theme="1"/>
        <rFont val="游ゴシック"/>
        <family val="3"/>
        <charset val="128"/>
        <scheme val="minor"/>
      </rPr>
      <t>3</t>
    </r>
    <r>
      <rPr>
        <sz val="11"/>
        <color theme="1"/>
        <rFont val="游ゴシック"/>
        <family val="2"/>
        <charset val="128"/>
        <scheme val="minor"/>
      </rPr>
      <t>)</t>
    </r>
    <rPh sb="3" eb="5">
      <t>ハイシュツ</t>
    </rPh>
    <rPh sb="5" eb="6">
      <t>リョウ</t>
    </rPh>
    <rPh sb="6" eb="9">
      <t>ゲンタンイ</t>
    </rPh>
    <rPh sb="10" eb="12">
      <t>ホジョ</t>
    </rPh>
    <rPh sb="12" eb="14">
      <t>ネンリョウ</t>
    </rPh>
    <phoneticPr fontId="2"/>
  </si>
  <si>
    <r>
      <t>N</t>
    </r>
    <r>
      <rPr>
        <vertAlign val="subscript"/>
        <sz val="11"/>
        <rFont val="游ゴシック"/>
        <family val="3"/>
        <charset val="128"/>
        <scheme val="minor"/>
      </rPr>
      <t>2</t>
    </r>
    <r>
      <rPr>
        <sz val="11"/>
        <rFont val="游ゴシック"/>
        <family val="3"/>
        <charset val="128"/>
        <scheme val="minor"/>
      </rPr>
      <t>O由来GHG排出量</t>
    </r>
    <rPh sb="3" eb="5">
      <t>ユライ</t>
    </rPh>
    <rPh sb="8" eb="11">
      <t>ハイシュツリョウ</t>
    </rPh>
    <phoneticPr fontId="2"/>
  </si>
  <si>
    <r>
      <t>N</t>
    </r>
    <r>
      <rPr>
        <vertAlign val="subscript"/>
        <sz val="11"/>
        <rFont val="游ゴシック"/>
        <family val="3"/>
        <charset val="128"/>
        <scheme val="minor"/>
      </rPr>
      <t>2</t>
    </r>
    <r>
      <rPr>
        <sz val="11"/>
        <rFont val="游ゴシック"/>
        <family val="3"/>
        <charset val="128"/>
        <scheme val="minor"/>
      </rPr>
      <t>O排出量
(t-N</t>
    </r>
    <r>
      <rPr>
        <vertAlign val="subscript"/>
        <sz val="11"/>
        <rFont val="游ゴシック"/>
        <family val="3"/>
        <charset val="128"/>
        <scheme val="minor"/>
      </rPr>
      <t>2</t>
    </r>
    <r>
      <rPr>
        <sz val="11"/>
        <rFont val="游ゴシック"/>
        <family val="3"/>
        <charset val="128"/>
        <scheme val="minor"/>
      </rPr>
      <t>O/年)</t>
    </r>
    <rPh sb="3" eb="6">
      <t>ハイシュツリョウ</t>
    </rPh>
    <rPh sb="14" eb="15">
      <t>ネン</t>
    </rPh>
    <phoneticPr fontId="2"/>
  </si>
  <si>
    <r>
      <t>Y=処理汚泥量Xy(wet-t/年)
×N2O排出量原単位(kg-N2O/wet-t)×10</t>
    </r>
    <r>
      <rPr>
        <vertAlign val="superscript"/>
        <sz val="11"/>
        <color theme="1"/>
        <rFont val="游ゴシック"/>
        <family val="3"/>
        <charset val="128"/>
        <scheme val="minor"/>
      </rPr>
      <t>-3</t>
    </r>
    <rPh sb="2" eb="4">
      <t>ショリ</t>
    </rPh>
    <rPh sb="23" eb="25">
      <t>ハイシュツ</t>
    </rPh>
    <rPh sb="25" eb="26">
      <t>リョウ</t>
    </rPh>
    <rPh sb="26" eb="29">
      <t>ゲンタンイ</t>
    </rPh>
    <phoneticPr fontId="2"/>
  </si>
  <si>
    <r>
      <t>N</t>
    </r>
    <r>
      <rPr>
        <vertAlign val="subscript"/>
        <sz val="11"/>
        <rFont val="游ゴシック"/>
        <family val="3"/>
        <charset val="128"/>
        <scheme val="minor"/>
      </rPr>
      <t>2</t>
    </r>
    <r>
      <rPr>
        <sz val="11"/>
        <rFont val="游ゴシック"/>
        <family val="2"/>
        <charset val="128"/>
        <scheme val="minor"/>
      </rPr>
      <t>O排出量原単位(kg-N</t>
    </r>
    <r>
      <rPr>
        <vertAlign val="subscript"/>
        <sz val="11"/>
        <rFont val="游ゴシック"/>
        <family val="3"/>
        <charset val="128"/>
        <scheme val="minor"/>
      </rPr>
      <t>2</t>
    </r>
    <r>
      <rPr>
        <sz val="11"/>
        <rFont val="游ゴシック"/>
        <family val="2"/>
        <charset val="128"/>
        <scheme val="minor"/>
      </rPr>
      <t xml:space="preserve">O/wet-t)
</t>
    </r>
    <r>
      <rPr>
        <sz val="11"/>
        <rFont val="游ゴシック"/>
        <family val="3"/>
        <charset val="128"/>
        <scheme val="minor"/>
      </rPr>
      <t>※高温焼却時</t>
    </r>
    <rPh sb="3" eb="5">
      <t>ハイシュツ</t>
    </rPh>
    <rPh sb="5" eb="6">
      <t>リョウ</t>
    </rPh>
    <rPh sb="6" eb="9">
      <t>ゲンタンイ</t>
    </rPh>
    <rPh sb="25" eb="27">
      <t>コウオン</t>
    </rPh>
    <rPh sb="27" eb="29">
      <t>ショウキャク</t>
    </rPh>
    <rPh sb="29" eb="30">
      <t>ジ</t>
    </rPh>
    <phoneticPr fontId="2"/>
  </si>
  <si>
    <r>
      <t>Y=N</t>
    </r>
    <r>
      <rPr>
        <vertAlign val="subscript"/>
        <sz val="11"/>
        <color theme="1"/>
        <rFont val="游ゴシック"/>
        <family val="3"/>
        <charset val="128"/>
        <scheme val="minor"/>
      </rPr>
      <t>2</t>
    </r>
    <r>
      <rPr>
        <sz val="11"/>
        <color theme="1"/>
        <rFont val="游ゴシック"/>
        <family val="2"/>
        <charset val="128"/>
        <scheme val="minor"/>
      </rPr>
      <t>O排出量(t-N</t>
    </r>
    <r>
      <rPr>
        <vertAlign val="subscript"/>
        <sz val="11"/>
        <color theme="1"/>
        <rFont val="游ゴシック"/>
        <family val="3"/>
        <charset val="128"/>
        <scheme val="minor"/>
      </rPr>
      <t>2</t>
    </r>
    <r>
      <rPr>
        <sz val="11"/>
        <color theme="1"/>
        <rFont val="游ゴシック"/>
        <family val="2"/>
        <charset val="128"/>
        <scheme val="minor"/>
      </rPr>
      <t>O/年)×N</t>
    </r>
    <r>
      <rPr>
        <vertAlign val="subscript"/>
        <sz val="11"/>
        <color theme="1"/>
        <rFont val="游ゴシック"/>
        <family val="3"/>
        <charset val="128"/>
        <scheme val="minor"/>
      </rPr>
      <t>2</t>
    </r>
    <r>
      <rPr>
        <sz val="11"/>
        <color theme="1"/>
        <rFont val="游ゴシック"/>
        <family val="2"/>
        <charset val="128"/>
        <scheme val="minor"/>
      </rPr>
      <t>O地球温暖化係数(t-CO</t>
    </r>
    <r>
      <rPr>
        <vertAlign val="subscript"/>
        <sz val="11"/>
        <color theme="1"/>
        <rFont val="游ゴシック"/>
        <family val="3"/>
        <charset val="128"/>
        <scheme val="minor"/>
      </rPr>
      <t>2</t>
    </r>
    <r>
      <rPr>
        <sz val="11"/>
        <color theme="1"/>
        <rFont val="游ゴシック"/>
        <family val="2"/>
        <charset val="128"/>
        <scheme val="minor"/>
      </rPr>
      <t>/t-N</t>
    </r>
    <r>
      <rPr>
        <vertAlign val="subscript"/>
        <sz val="11"/>
        <color theme="1"/>
        <rFont val="游ゴシック"/>
        <family val="3"/>
        <charset val="128"/>
        <scheme val="minor"/>
      </rPr>
      <t>2</t>
    </r>
    <r>
      <rPr>
        <sz val="11"/>
        <color theme="1"/>
        <rFont val="游ゴシック"/>
        <family val="2"/>
        <charset val="128"/>
        <scheme val="minor"/>
      </rPr>
      <t>O)</t>
    </r>
    <rPh sb="5" eb="8">
      <t>ハイシュツリョウ</t>
    </rPh>
    <rPh sb="15" eb="16">
      <t>ネン</t>
    </rPh>
    <phoneticPr fontId="2"/>
  </si>
  <si>
    <t>❸</t>
    <phoneticPr fontId="2"/>
  </si>
  <si>
    <r>
      <t>地球温暖化係数・N2O
(t-CO</t>
    </r>
    <r>
      <rPr>
        <vertAlign val="subscript"/>
        <sz val="11"/>
        <color theme="1"/>
        <rFont val="游ゴシック"/>
        <family val="3"/>
        <charset val="128"/>
        <scheme val="minor"/>
      </rPr>
      <t>2</t>
    </r>
    <r>
      <rPr>
        <sz val="11"/>
        <color theme="1"/>
        <rFont val="游ゴシック"/>
        <family val="2"/>
        <charset val="128"/>
        <scheme val="minor"/>
      </rPr>
      <t>/t-N</t>
    </r>
    <r>
      <rPr>
        <vertAlign val="subscript"/>
        <sz val="11"/>
        <color theme="1"/>
        <rFont val="游ゴシック"/>
        <family val="3"/>
        <charset val="128"/>
        <scheme val="minor"/>
      </rPr>
      <t>2</t>
    </r>
    <r>
      <rPr>
        <sz val="11"/>
        <color theme="1"/>
        <rFont val="游ゴシック"/>
        <family val="2"/>
        <charset val="128"/>
        <scheme val="minor"/>
      </rPr>
      <t>O)</t>
    </r>
    <rPh sb="0" eb="2">
      <t>チキュウ</t>
    </rPh>
    <rPh sb="2" eb="5">
      <t>オンダンカ</t>
    </rPh>
    <rPh sb="5" eb="7">
      <t>ケイスウ</t>
    </rPh>
    <phoneticPr fontId="2"/>
  </si>
  <si>
    <t>薬品由来GHG排出量</t>
    <rPh sb="0" eb="2">
      <t>ヤクヒン</t>
    </rPh>
    <rPh sb="2" eb="4">
      <t>ユライ</t>
    </rPh>
    <rPh sb="7" eb="10">
      <t>ハイシュツリョウ</t>
    </rPh>
    <phoneticPr fontId="2"/>
  </si>
  <si>
    <t>Y=高分子凝集剤使用量(t/年)×GHG排出量原単位(t-CO2/t)
＋苛性ソーダ使用量(t/年)×GHG排出量原単位(t-CO2/t)</t>
    <rPh sb="2" eb="3">
      <t>コウ</t>
    </rPh>
    <rPh sb="3" eb="5">
      <t>ブンシ</t>
    </rPh>
    <rPh sb="5" eb="7">
      <t>ギョウシュウ</t>
    </rPh>
    <rPh sb="7" eb="8">
      <t>ザイ</t>
    </rPh>
    <rPh sb="8" eb="10">
      <t>シヨウ</t>
    </rPh>
    <rPh sb="10" eb="11">
      <t>リョウ</t>
    </rPh>
    <rPh sb="14" eb="15">
      <t>ネン</t>
    </rPh>
    <rPh sb="20" eb="22">
      <t>ハイシュツ</t>
    </rPh>
    <rPh sb="22" eb="23">
      <t>リョウ</t>
    </rPh>
    <rPh sb="23" eb="26">
      <t>ゲンタンイ</t>
    </rPh>
    <rPh sb="37" eb="39">
      <t>カセイ</t>
    </rPh>
    <rPh sb="42" eb="44">
      <t>シヨウ</t>
    </rPh>
    <rPh sb="44" eb="45">
      <t>リョウ</t>
    </rPh>
    <rPh sb="54" eb="56">
      <t>ハイシュツ</t>
    </rPh>
    <rPh sb="56" eb="57">
      <t>リョウ</t>
    </rPh>
    <rPh sb="57" eb="60">
      <t>ゲンタンイ</t>
    </rPh>
    <phoneticPr fontId="2"/>
  </si>
  <si>
    <t>❹：高分子凝集剤使用量=Xy×(1-含水率)×0.5％
　　苛性ソーダ使用量=Xy×0.661％</t>
    <rPh sb="2" eb="5">
      <t>コウブンシ</t>
    </rPh>
    <rPh sb="5" eb="7">
      <t>ギョウシュウ</t>
    </rPh>
    <rPh sb="7" eb="8">
      <t>ザイ</t>
    </rPh>
    <rPh sb="8" eb="10">
      <t>シヨウ</t>
    </rPh>
    <rPh sb="10" eb="11">
      <t>リョウ</t>
    </rPh>
    <rPh sb="18" eb="20">
      <t>ガンスイ</t>
    </rPh>
    <rPh sb="20" eb="21">
      <t>リツ</t>
    </rPh>
    <rPh sb="30" eb="32">
      <t>カセイ</t>
    </rPh>
    <rPh sb="35" eb="37">
      <t>シヨウ</t>
    </rPh>
    <rPh sb="37" eb="38">
      <t>リョウ</t>
    </rPh>
    <phoneticPr fontId="2"/>
  </si>
  <si>
    <t>GHG排出量原単位・
高分子凝集井(t-CO2/t)</t>
    <rPh sb="3" eb="5">
      <t>ハイシュツ</t>
    </rPh>
    <rPh sb="5" eb="6">
      <t>リョウ</t>
    </rPh>
    <rPh sb="6" eb="9">
      <t>ゲンタンイ</t>
    </rPh>
    <rPh sb="11" eb="14">
      <t>コウブンシ</t>
    </rPh>
    <rPh sb="14" eb="16">
      <t>ギョウシュウ</t>
    </rPh>
    <rPh sb="16" eb="17">
      <t>イ</t>
    </rPh>
    <phoneticPr fontId="2"/>
  </si>
  <si>
    <t>GHG排出量原単位
・苛性ソーダ(t-CO2/t)</t>
    <rPh sb="3" eb="5">
      <t>ハイシュツ</t>
    </rPh>
    <rPh sb="5" eb="6">
      <t>リョウ</t>
    </rPh>
    <rPh sb="6" eb="9">
      <t>ゲンタンイ</t>
    </rPh>
    <rPh sb="11" eb="13">
      <t>カセイ</t>
    </rPh>
    <phoneticPr fontId="2"/>
  </si>
  <si>
    <r>
      <t>Ｆ：</t>
    </r>
    <r>
      <rPr>
        <sz val="11"/>
        <color theme="1"/>
        <rFont val="游ゴシック"/>
        <family val="3"/>
        <charset val="128"/>
      </rPr>
      <t>❶+❷+❸+❹+❺</t>
    </r>
    <phoneticPr fontId="2"/>
  </si>
  <si>
    <t>Y=消費電力量(脱水・燃焼・発電設備)</t>
    <rPh sb="2" eb="4">
      <t>ショウヒ</t>
    </rPh>
    <rPh sb="4" eb="6">
      <t>デンリョク</t>
    </rPh>
    <rPh sb="6" eb="7">
      <t>リョウ</t>
    </rPh>
    <rPh sb="8" eb="10">
      <t>ダッスイ</t>
    </rPh>
    <rPh sb="11" eb="13">
      <t>ネンショウ</t>
    </rPh>
    <rPh sb="14" eb="16">
      <t>ハツデン</t>
    </rPh>
    <rPh sb="16" eb="18">
      <t>セツビ</t>
    </rPh>
    <phoneticPr fontId="2"/>
  </si>
  <si>
    <t>⑷+⑸+⑹</t>
    <phoneticPr fontId="2"/>
  </si>
  <si>
    <t>❻</t>
    <phoneticPr fontId="2"/>
  </si>
  <si>
    <t>GHG排出量原単位・A重油
(kg-CO2/L)</t>
    <rPh sb="3" eb="5">
      <t>ハイシュツ</t>
    </rPh>
    <rPh sb="5" eb="6">
      <t>リョウ</t>
    </rPh>
    <rPh sb="6" eb="9">
      <t>ゲンタンイ</t>
    </rPh>
    <rPh sb="11" eb="13">
      <t>ジュウユ</t>
    </rPh>
    <phoneticPr fontId="2"/>
  </si>
  <si>
    <r>
      <t>Y=補助燃料使用量(kL/年)×GHG排出量原単位(t-CO</t>
    </r>
    <r>
      <rPr>
        <vertAlign val="subscript"/>
        <sz val="11"/>
        <color theme="1"/>
        <rFont val="游ゴシック"/>
        <family val="3"/>
        <charset val="128"/>
        <scheme val="minor"/>
      </rPr>
      <t>2</t>
    </r>
    <r>
      <rPr>
        <sz val="11"/>
        <color theme="1"/>
        <rFont val="游ゴシック"/>
        <family val="2"/>
        <charset val="128"/>
        <scheme val="minor"/>
      </rPr>
      <t>/kL)</t>
    </r>
    <rPh sb="2" eb="4">
      <t>ホジョ</t>
    </rPh>
    <rPh sb="4" eb="6">
      <t>ネンリョウ</t>
    </rPh>
    <phoneticPr fontId="2"/>
  </si>
  <si>
    <t>❼</t>
    <phoneticPr fontId="2"/>
  </si>
  <si>
    <r>
      <t>N</t>
    </r>
    <r>
      <rPr>
        <vertAlign val="subscript"/>
        <sz val="11"/>
        <rFont val="游ゴシック"/>
        <family val="3"/>
        <charset val="128"/>
        <scheme val="minor"/>
      </rPr>
      <t>2</t>
    </r>
    <r>
      <rPr>
        <sz val="11"/>
        <rFont val="游ゴシック"/>
        <family val="2"/>
        <charset val="128"/>
        <scheme val="minor"/>
      </rPr>
      <t>O排出量原単位(kg-N</t>
    </r>
    <r>
      <rPr>
        <vertAlign val="subscript"/>
        <sz val="11"/>
        <rFont val="游ゴシック"/>
        <family val="3"/>
        <charset val="128"/>
        <scheme val="minor"/>
      </rPr>
      <t>2</t>
    </r>
    <r>
      <rPr>
        <sz val="11"/>
        <rFont val="游ゴシック"/>
        <family val="2"/>
        <charset val="128"/>
        <scheme val="minor"/>
      </rPr>
      <t xml:space="preserve">O/wet-t)
</t>
    </r>
    <r>
      <rPr>
        <sz val="11"/>
        <rFont val="游ゴシック"/>
        <family val="3"/>
        <charset val="128"/>
        <scheme val="minor"/>
      </rPr>
      <t>※革新的技術実証値</t>
    </r>
    <rPh sb="3" eb="5">
      <t>ハイシュツ</t>
    </rPh>
    <rPh sb="5" eb="6">
      <t>リョウ</t>
    </rPh>
    <rPh sb="6" eb="9">
      <t>ゲンタンイ</t>
    </rPh>
    <rPh sb="25" eb="28">
      <t>カクシンテキ</t>
    </rPh>
    <rPh sb="28" eb="30">
      <t>ギジュツ</t>
    </rPh>
    <rPh sb="30" eb="32">
      <t>ジッショウ</t>
    </rPh>
    <rPh sb="32" eb="33">
      <t>チ</t>
    </rPh>
    <phoneticPr fontId="2"/>
  </si>
  <si>
    <t>❽</t>
    <phoneticPr fontId="2"/>
  </si>
  <si>
    <t>Y=高分子凝集剤使用量(t/年)×GHG排出量原単位(t-CO2/t)
＋ポリ硫酸第二鉄使用量(t/年)×GHG排出量原単位(t-CO2/t)
＋苛性ソーダ使用量(t/年)×GHG排出量原単位(t-CO2/t)</t>
    <phoneticPr fontId="2"/>
  </si>
  <si>
    <t>❾</t>
    <phoneticPr fontId="2"/>
  </si>
  <si>
    <t>GHG排出量原単位・
ポリ硫酸第二鉄(t-CO2/t)</t>
    <rPh sb="3" eb="5">
      <t>ハイシュツ</t>
    </rPh>
    <rPh sb="5" eb="6">
      <t>リョウ</t>
    </rPh>
    <rPh sb="6" eb="9">
      <t>ゲンタンイ</t>
    </rPh>
    <rPh sb="13" eb="15">
      <t>リュウサン</t>
    </rPh>
    <rPh sb="15" eb="17">
      <t>ダイニ</t>
    </rPh>
    <rPh sb="17" eb="18">
      <t>テツ</t>
    </rPh>
    <phoneticPr fontId="2"/>
  </si>
  <si>
    <t>GHG排出量原単位
・48%苛性ソーダ(t-CO2/t)</t>
    <rPh sb="3" eb="5">
      <t>ハイシュツ</t>
    </rPh>
    <rPh sb="5" eb="6">
      <t>リョウ</t>
    </rPh>
    <rPh sb="6" eb="9">
      <t>ゲンタンイ</t>
    </rPh>
    <rPh sb="14" eb="16">
      <t>カセイ</t>
    </rPh>
    <phoneticPr fontId="2"/>
  </si>
  <si>
    <t>Ｇ：❻+❼+❽+❾+❿</t>
    <phoneticPr fontId="2"/>
  </si>
  <si>
    <t>発電によるGHG排出削減量</t>
    <rPh sb="0" eb="2">
      <t>ハツデン</t>
    </rPh>
    <rPh sb="8" eb="10">
      <t>ハイシュツ</t>
    </rPh>
    <rPh sb="10" eb="13">
      <t>サクゲンリョウ</t>
    </rPh>
    <phoneticPr fontId="2"/>
  </si>
  <si>
    <t>Y=発電電力量(MWh/年)×GHG排出量原単位(t-CO2/MWh)</t>
    <rPh sb="2" eb="4">
      <t>ハツデン</t>
    </rPh>
    <rPh sb="18" eb="20">
      <t>ハイシュツ</t>
    </rPh>
    <rPh sb="20" eb="21">
      <t>リョウ</t>
    </rPh>
    <rPh sb="21" eb="24">
      <t>ゲンタンイ</t>
    </rPh>
    <phoneticPr fontId="2"/>
  </si>
  <si>
    <t>Ｈ</t>
    <phoneticPr fontId="2"/>
  </si>
  <si>
    <t>{１-(Ｇ－Ｈ)/Ｆ}×100</t>
    <phoneticPr fontId="2"/>
  </si>
  <si>
    <t>対策No.4</t>
    <phoneticPr fontId="2"/>
  </si>
  <si>
    <t>1万m³/日</t>
    <rPh sb="1" eb="2">
      <t>マン</t>
    </rPh>
    <rPh sb="5" eb="6">
      <t>ニチ</t>
    </rPh>
    <phoneticPr fontId="2"/>
  </si>
  <si>
    <t>対策の寄与率
(削減量/現状の総排出量)</t>
    <rPh sb="0" eb="2">
      <t>タイサク</t>
    </rPh>
    <rPh sb="3" eb="6">
      <t>キヨリツ</t>
    </rPh>
    <rPh sb="8" eb="11">
      <t>サクゲンリョウ</t>
    </rPh>
    <rPh sb="12" eb="14">
      <t>ゲンジョウ</t>
    </rPh>
    <rPh sb="15" eb="16">
      <t>ソウ</t>
    </rPh>
    <rPh sb="16" eb="18">
      <t>ハイシュツ</t>
    </rPh>
    <rPh sb="18" eb="19">
      <t>リョウ</t>
    </rPh>
    <phoneticPr fontId="2"/>
  </si>
  <si>
    <t>・各対策の導入効果は「対策後の結果の出力」を参照ください。</t>
    <rPh sb="1" eb="2">
      <t>カク</t>
    </rPh>
    <rPh sb="2" eb="4">
      <t>タイサク</t>
    </rPh>
    <rPh sb="5" eb="7">
      <t>ドウニュウ</t>
    </rPh>
    <rPh sb="7" eb="9">
      <t>コウカ</t>
    </rPh>
    <rPh sb="11" eb="14">
      <t>タイサクゴ</t>
    </rPh>
    <rPh sb="15" eb="17">
      <t>ケッカ</t>
    </rPh>
    <rPh sb="18" eb="20">
      <t>シュツリョク</t>
    </rPh>
    <rPh sb="22" eb="24">
      <t>サンショウ</t>
    </rPh>
    <phoneticPr fontId="2"/>
  </si>
  <si>
    <t>水処理方法</t>
    <rPh sb="0" eb="3">
      <t>ミズショリ</t>
    </rPh>
    <rPh sb="3" eb="5">
      <t>ホウホウ</t>
    </rPh>
    <phoneticPr fontId="2"/>
  </si>
  <si>
    <t>対策後の排出量</t>
    <rPh sb="0" eb="2">
      <t>タイサク</t>
    </rPh>
    <rPh sb="2" eb="3">
      <t>ゴ</t>
    </rPh>
    <rPh sb="4" eb="7">
      <t>ハイシュツリョウ</t>
    </rPh>
    <phoneticPr fontId="2"/>
  </si>
  <si>
    <t xml:space="preserve"> t-CO₂/千m³</t>
    <phoneticPr fontId="2"/>
  </si>
  <si>
    <t>・対策後の結果の出力</t>
    <rPh sb="1" eb="4">
      <t>タイサクゴ</t>
    </rPh>
    <rPh sb="5" eb="7">
      <t>ケッカ</t>
    </rPh>
    <rPh sb="8" eb="10">
      <t>シュツリョク</t>
    </rPh>
    <phoneticPr fontId="2"/>
  </si>
  <si>
    <t>※本削減率は目安値ですので、実際の導入効果を算出するには詳細な検討が必要となります。</t>
    <rPh sb="1" eb="5">
      <t>ホンサクゲンリツ</t>
    </rPh>
    <rPh sb="6" eb="9">
      <t>メヤスチ</t>
    </rPh>
    <rPh sb="14" eb="16">
      <t>ジッサイ</t>
    </rPh>
    <rPh sb="17" eb="21">
      <t>ドウニュウコウカ</t>
    </rPh>
    <rPh sb="22" eb="24">
      <t>サンシュツ</t>
    </rPh>
    <rPh sb="28" eb="30">
      <t>ショウサイ</t>
    </rPh>
    <rPh sb="31" eb="33">
      <t>ケントウ</t>
    </rPh>
    <rPh sb="34" eb="36">
      <t>ヒツヨウ</t>
    </rPh>
    <phoneticPr fontId="2"/>
  </si>
  <si>
    <t>送風機設備</t>
    <rPh sb="0" eb="5">
      <t>ソウフウキセツビ</t>
    </rPh>
    <phoneticPr fontId="2"/>
  </si>
  <si>
    <t>対策導入設備</t>
    <rPh sb="0" eb="2">
      <t>タイサク</t>
    </rPh>
    <rPh sb="2" eb="4">
      <t>ドウニュウ</t>
    </rPh>
    <rPh sb="4" eb="6">
      <t>セツビ</t>
    </rPh>
    <phoneticPr fontId="2"/>
  </si>
  <si>
    <t>反応タンク設備</t>
    <rPh sb="0" eb="2">
      <t>ハンノウ</t>
    </rPh>
    <rPh sb="5" eb="7">
      <t>セツビ</t>
    </rPh>
    <phoneticPr fontId="2"/>
  </si>
  <si>
    <t>反応タンク設備、最終沈殿池設備等水処理設備</t>
    <rPh sb="0" eb="2">
      <t>ハンノウ</t>
    </rPh>
    <rPh sb="5" eb="7">
      <t>セツビ</t>
    </rPh>
    <rPh sb="8" eb="10">
      <t>サイシュウ</t>
    </rPh>
    <rPh sb="10" eb="13">
      <t>チンデンチ</t>
    </rPh>
    <rPh sb="13" eb="15">
      <t>セツビ</t>
    </rPh>
    <rPh sb="15" eb="16">
      <t>トウ</t>
    </rPh>
    <rPh sb="16" eb="17">
      <t>ミズ</t>
    </rPh>
    <rPh sb="17" eb="19">
      <t>ショリ</t>
    </rPh>
    <rPh sb="19" eb="21">
      <t>セツビ</t>
    </rPh>
    <phoneticPr fontId="2"/>
  </si>
  <si>
    <t>反応タンク設備、送風機設備等水処理設備</t>
    <rPh sb="0" eb="2">
      <t>ハンノウ</t>
    </rPh>
    <rPh sb="5" eb="7">
      <t>セツビ</t>
    </rPh>
    <rPh sb="8" eb="11">
      <t>ソウフウキ</t>
    </rPh>
    <rPh sb="11" eb="13">
      <t>セツビ</t>
    </rPh>
    <rPh sb="13" eb="14">
      <t>トウ</t>
    </rPh>
    <rPh sb="14" eb="15">
      <t>ミズ</t>
    </rPh>
    <rPh sb="15" eb="17">
      <t>ショリ</t>
    </rPh>
    <rPh sb="17" eb="19">
      <t>セツビ</t>
    </rPh>
    <phoneticPr fontId="2"/>
  </si>
  <si>
    <t>最初沈殿池、反応タンク設備、最終沈殿池設備</t>
    <rPh sb="0" eb="5">
      <t>サイショチンデンチ</t>
    </rPh>
    <rPh sb="6" eb="8">
      <t>ハンノウ</t>
    </rPh>
    <rPh sb="11" eb="13">
      <t>セツビ</t>
    </rPh>
    <rPh sb="14" eb="16">
      <t>サイシュウ</t>
    </rPh>
    <rPh sb="16" eb="19">
      <t>チンデンチ</t>
    </rPh>
    <rPh sb="19" eb="21">
      <t>セツビ</t>
    </rPh>
    <phoneticPr fontId="2"/>
  </si>
  <si>
    <t>最初沈殿池</t>
    <rPh sb="0" eb="5">
      <t>サイショチンデンチ</t>
    </rPh>
    <phoneticPr fontId="2"/>
  </si>
  <si>
    <t>No.2</t>
    <phoneticPr fontId="2"/>
  </si>
  <si>
    <t>No.1</t>
    <phoneticPr fontId="2"/>
  </si>
  <si>
    <t>No.4、No.5</t>
    <phoneticPr fontId="2"/>
  </si>
  <si>
    <t>No.3、No.5</t>
    <phoneticPr fontId="2"/>
  </si>
  <si>
    <t>No.3、No.4</t>
    <phoneticPr fontId="2"/>
  </si>
  <si>
    <t>組み合わせることができる可能性のある対策※1</t>
    <rPh sb="0" eb="1">
      <t>ク</t>
    </rPh>
    <rPh sb="2" eb="3">
      <t>ア</t>
    </rPh>
    <rPh sb="12" eb="15">
      <t>カノウセイ</t>
    </rPh>
    <rPh sb="18" eb="20">
      <t>タイサク</t>
    </rPh>
    <phoneticPr fontId="2"/>
  </si>
  <si>
    <t>※2</t>
    <phoneticPr fontId="2"/>
  </si>
  <si>
    <t>※ 1各対策の組み合わせに関しては処理場条件により組み合わせることができるもの、できないものがありますので、実際に組み合わせることできるかに関しては詳細な検討が必要となります。</t>
    <rPh sb="3" eb="4">
      <t>カク</t>
    </rPh>
    <rPh sb="4" eb="6">
      <t>タイサク</t>
    </rPh>
    <rPh sb="7" eb="8">
      <t>ク</t>
    </rPh>
    <rPh sb="9" eb="10">
      <t>ア</t>
    </rPh>
    <rPh sb="13" eb="14">
      <t>カン</t>
    </rPh>
    <rPh sb="17" eb="22">
      <t>ショリジョウジョウケン</t>
    </rPh>
    <rPh sb="25" eb="26">
      <t>ク</t>
    </rPh>
    <rPh sb="27" eb="28">
      <t>ア</t>
    </rPh>
    <rPh sb="54" eb="56">
      <t>ジッサイ</t>
    </rPh>
    <rPh sb="57" eb="58">
      <t>ク</t>
    </rPh>
    <rPh sb="59" eb="60">
      <t>ア</t>
    </rPh>
    <rPh sb="70" eb="71">
      <t>カン</t>
    </rPh>
    <rPh sb="74" eb="76">
      <t>ショウサイ</t>
    </rPh>
    <rPh sb="77" eb="79">
      <t>ケントウ</t>
    </rPh>
    <rPh sb="80" eb="82">
      <t>ヒツヨウ</t>
    </rPh>
    <phoneticPr fontId="2"/>
  </si>
  <si>
    <t>※2 B-DASH技術に関しては各対策と実際に組み合わせることができるかに関しては詳細な検討が必要となります。</t>
    <rPh sb="12" eb="13">
      <t>カン</t>
    </rPh>
    <rPh sb="16" eb="19">
      <t>カクタイサク</t>
    </rPh>
    <rPh sb="20" eb="22">
      <t>ジッサイ</t>
    </rPh>
    <phoneticPr fontId="2"/>
  </si>
  <si>
    <t>　上記の「組み合わせることができる可能性のある対策」以外の組み合わせについての可能性を排除するものではありません。</t>
    <rPh sb="1" eb="3">
      <t>ジョウキ</t>
    </rPh>
    <rPh sb="5" eb="6">
      <t>ク</t>
    </rPh>
    <rPh sb="7" eb="8">
      <t>ア</t>
    </rPh>
    <rPh sb="17" eb="20">
      <t>カノウセイ</t>
    </rPh>
    <rPh sb="23" eb="25">
      <t>タイサク</t>
    </rPh>
    <rPh sb="26" eb="28">
      <t>イガイ</t>
    </rPh>
    <rPh sb="29" eb="30">
      <t>ク</t>
    </rPh>
    <rPh sb="31" eb="32">
      <t>ア</t>
    </rPh>
    <rPh sb="39" eb="42">
      <t>カノウセイ</t>
    </rPh>
    <rPh sb="43" eb="45">
      <t>ハイジョ</t>
    </rPh>
    <phoneticPr fontId="2"/>
  </si>
  <si>
    <t>水処理設備</t>
    <rPh sb="0" eb="3">
      <t>ミズショリ</t>
    </rPh>
    <rPh sb="3" eb="5">
      <t>セツビ</t>
    </rPh>
    <phoneticPr fontId="2"/>
  </si>
  <si>
    <t>組み合わせることができる
可能性のある対策※1</t>
    <phoneticPr fontId="2"/>
  </si>
  <si>
    <t>機械濃縮設備</t>
    <rPh sb="0" eb="2">
      <t>キカイ</t>
    </rPh>
    <rPh sb="2" eb="6">
      <t>ノウシュクセツビ</t>
    </rPh>
    <phoneticPr fontId="2"/>
  </si>
  <si>
    <t>消化設備</t>
    <rPh sb="0" eb="2">
      <t>ショウカ</t>
    </rPh>
    <rPh sb="2" eb="4">
      <t>セツビ</t>
    </rPh>
    <phoneticPr fontId="2"/>
  </si>
  <si>
    <t>機械脱水設備</t>
    <rPh sb="0" eb="2">
      <t>キカイ</t>
    </rPh>
    <rPh sb="2" eb="4">
      <t>ダッスイ</t>
    </rPh>
    <rPh sb="4" eb="6">
      <t>セツビ</t>
    </rPh>
    <phoneticPr fontId="2"/>
  </si>
  <si>
    <t>No.1、No.2</t>
    <phoneticPr fontId="2"/>
  </si>
  <si>
    <t>No.2、No.3</t>
    <phoneticPr fontId="2"/>
  </si>
  <si>
    <t>No.1、No.3</t>
    <phoneticPr fontId="2"/>
  </si>
  <si>
    <t>総費用（年価換算値）を算出する場合入力</t>
    <rPh sb="11" eb="13">
      <t>サンシュツ</t>
    </rPh>
    <rPh sb="15" eb="17">
      <t>バアイ</t>
    </rPh>
    <rPh sb="17" eb="19">
      <t>ニュウリョク</t>
    </rPh>
    <phoneticPr fontId="2"/>
  </si>
  <si>
    <t>　費用を算出する場合非表示になっている42~95を再表示させて下さい</t>
    <rPh sb="1" eb="3">
      <t>ヒヨウ</t>
    </rPh>
    <rPh sb="4" eb="6">
      <t>サンシュツ</t>
    </rPh>
    <rPh sb="8" eb="10">
      <t>バアイ</t>
    </rPh>
    <rPh sb="10" eb="13">
      <t>ヒヒョウジ</t>
    </rPh>
    <rPh sb="25" eb="26">
      <t>サイ</t>
    </rPh>
    <rPh sb="26" eb="28">
      <t>ヒョウジ</t>
    </rPh>
    <rPh sb="31" eb="32">
      <t>クダ</t>
    </rPh>
    <phoneticPr fontId="2"/>
  </si>
  <si>
    <t>以降の計算シートは「脱水・燃焼・発電を全体最適化した革新的下水汚泥エネルギー転換システムの実証事業」における技術導入効果計算シートの転載になります。</t>
    <rPh sb="0" eb="2">
      <t>イコウ</t>
    </rPh>
    <rPh sb="3" eb="5">
      <t>ケイサン</t>
    </rPh>
    <rPh sb="54" eb="56">
      <t>ギジュツ</t>
    </rPh>
    <rPh sb="56" eb="58">
      <t>ドウニュウ</t>
    </rPh>
    <rPh sb="58" eb="60">
      <t>コウカ</t>
    </rPh>
    <rPh sb="60" eb="62">
      <t>ケイサン</t>
    </rPh>
    <rPh sb="66" eb="68">
      <t>テンサイ</t>
    </rPh>
    <phoneticPr fontId="2"/>
  </si>
  <si>
    <t>・本技術のイメージ</t>
    <rPh sb="1" eb="4">
      <t>ホンギジュツ</t>
    </rPh>
    <phoneticPr fontId="2"/>
  </si>
  <si>
    <t>機械脱水設備、汚泥焼却設備、廃熱発電設備</t>
    <rPh sb="0" eb="2">
      <t>キカイ</t>
    </rPh>
    <rPh sb="2" eb="4">
      <t>ダッスイ</t>
    </rPh>
    <rPh sb="4" eb="6">
      <t>セツビ</t>
    </rPh>
    <rPh sb="7" eb="11">
      <t>オデイショウキャク</t>
    </rPh>
    <rPh sb="11" eb="13">
      <t>セツビ</t>
    </rPh>
    <rPh sb="14" eb="16">
      <t>ハイネツ</t>
    </rPh>
    <rPh sb="16" eb="18">
      <t>ハツデン</t>
    </rPh>
    <rPh sb="18" eb="20">
      <t>セツビ</t>
    </rPh>
    <phoneticPr fontId="2"/>
  </si>
  <si>
    <t>汚泥焼却設備を有する処理場</t>
    <rPh sb="0" eb="2">
      <t>オデイ</t>
    </rPh>
    <rPh sb="2" eb="4">
      <t>ショウキャク</t>
    </rPh>
    <rPh sb="4" eb="6">
      <t>セツビ</t>
    </rPh>
    <rPh sb="7" eb="8">
      <t>ユウ</t>
    </rPh>
    <rPh sb="10" eb="13">
      <t>ショリジョウ</t>
    </rPh>
    <phoneticPr fontId="2"/>
  </si>
  <si>
    <t>対策No.4</t>
  </si>
  <si>
    <t>【従来技術】</t>
    <phoneticPr fontId="2"/>
  </si>
  <si>
    <t>脱水汚泥焼却量：Xw(wet-t/日)</t>
    <rPh sb="0" eb="2">
      <t>ダッスイ</t>
    </rPh>
    <rPh sb="2" eb="4">
      <t>オデイ</t>
    </rPh>
    <rPh sb="4" eb="6">
      <t>ショウキャク</t>
    </rPh>
    <rPh sb="6" eb="7">
      <t>リョウ</t>
    </rPh>
    <rPh sb="17" eb="18">
      <t>ニチ</t>
    </rPh>
    <phoneticPr fontId="2"/>
  </si>
  <si>
    <t>稼働日数(日/年)</t>
    <rPh sb="0" eb="2">
      <t>カドウ</t>
    </rPh>
    <rPh sb="2" eb="4">
      <t>ニッスウ</t>
    </rPh>
    <phoneticPr fontId="2"/>
  </si>
  <si>
    <t>脱水汚泥含水率(％)</t>
    <rPh sb="0" eb="2">
      <t>ダッスイ</t>
    </rPh>
    <rPh sb="2" eb="4">
      <t>オデイ</t>
    </rPh>
    <rPh sb="4" eb="6">
      <t>ガンスイ</t>
    </rPh>
    <rPh sb="6" eb="7">
      <t>リツ</t>
    </rPh>
    <phoneticPr fontId="2"/>
  </si>
  <si>
    <t>年間稼働割合(自動入力)</t>
    <rPh sb="0" eb="2">
      <t>ネンカン</t>
    </rPh>
    <rPh sb="2" eb="4">
      <t>カドウ</t>
    </rPh>
    <rPh sb="4" eb="6">
      <t>ワリアイ</t>
    </rPh>
    <rPh sb="7" eb="9">
      <t>ジドウ</t>
    </rPh>
    <rPh sb="9" eb="11">
      <t>ニュウリョク</t>
    </rPh>
    <phoneticPr fontId="2"/>
  </si>
  <si>
    <t>汚泥中固形物量：XD(t-DS/日)(自動入力)</t>
    <rPh sb="0" eb="2">
      <t>オデイ</t>
    </rPh>
    <rPh sb="2" eb="3">
      <t>チュウ</t>
    </rPh>
    <rPh sb="3" eb="6">
      <t>コケイブツ</t>
    </rPh>
    <rPh sb="6" eb="7">
      <t>リョウ</t>
    </rPh>
    <rPh sb="19" eb="21">
      <t>ジドウ</t>
    </rPh>
    <rPh sb="21" eb="23">
      <t>ニュウリョク</t>
    </rPh>
    <phoneticPr fontId="2"/>
  </si>
  <si>
    <t>負荷率（設備規模に対する投入量の割合）</t>
    <rPh sb="0" eb="2">
      <t>フカ</t>
    </rPh>
    <rPh sb="2" eb="3">
      <t>リツ</t>
    </rPh>
    <rPh sb="4" eb="6">
      <t>セツビ</t>
    </rPh>
    <rPh sb="6" eb="8">
      <t>キボ</t>
    </rPh>
    <rPh sb="9" eb="10">
      <t>タイ</t>
    </rPh>
    <rPh sb="12" eb="14">
      <t>トウニュウ</t>
    </rPh>
    <rPh sb="14" eb="15">
      <t>リョウ</t>
    </rPh>
    <rPh sb="16" eb="18">
      <t>ワリアイ</t>
    </rPh>
    <phoneticPr fontId="2"/>
  </si>
  <si>
    <t>【革新的技術】</t>
    <phoneticPr fontId="2"/>
  </si>
  <si>
    <t>↓</t>
    <phoneticPr fontId="2"/>
  </si>
  <si>
    <t>エネルギー換算係数</t>
    <rPh sb="5" eb="7">
      <t>カンサン</t>
    </rPh>
    <rPh sb="7" eb="9">
      <t>ケイスウ</t>
    </rPh>
    <phoneticPr fontId="2"/>
  </si>
  <si>
    <t>温室効果ガス換算係数</t>
    <rPh sb="0" eb="2">
      <t>オンシツ</t>
    </rPh>
    <rPh sb="2" eb="4">
      <t>コウカ</t>
    </rPh>
    <rPh sb="6" eb="8">
      <t>カンサン</t>
    </rPh>
    <rPh sb="8" eb="10">
      <t>ケイスウ</t>
    </rPh>
    <phoneticPr fontId="2"/>
  </si>
  <si>
    <r>
      <t>無機系凝集剤中鉄分による固形物増加</t>
    </r>
    <r>
      <rPr>
        <sz val="11"/>
        <color theme="1"/>
        <rFont val="游ゴシック"/>
        <family val="3"/>
        <charset val="128"/>
        <scheme val="minor"/>
      </rPr>
      <t>(</t>
    </r>
    <r>
      <rPr>
        <sz val="11"/>
        <color theme="1"/>
        <rFont val="游ゴシック"/>
        <family val="2"/>
        <charset val="128"/>
        <scheme val="minor"/>
      </rPr>
      <t>％</t>
    </r>
    <r>
      <rPr>
        <sz val="11"/>
        <color theme="1"/>
        <rFont val="游ゴシック"/>
        <family val="3"/>
        <charset val="128"/>
        <scheme val="minor"/>
      </rPr>
      <t>)</t>
    </r>
    <r>
      <rPr>
        <vertAlign val="superscript"/>
        <sz val="11"/>
        <color theme="1"/>
        <rFont val="游ゴシック"/>
        <family val="3"/>
        <charset val="128"/>
        <scheme val="minor"/>
      </rPr>
      <t>※1</t>
    </r>
    <rPh sb="0" eb="2">
      <t>ムキ</t>
    </rPh>
    <rPh sb="2" eb="3">
      <t>ケイ</t>
    </rPh>
    <rPh sb="3" eb="5">
      <t>ギョウシュウ</t>
    </rPh>
    <rPh sb="5" eb="6">
      <t>ザイ</t>
    </rPh>
    <rPh sb="6" eb="7">
      <t>チュウ</t>
    </rPh>
    <rPh sb="7" eb="9">
      <t>テツブン</t>
    </rPh>
    <rPh sb="12" eb="15">
      <t>コケイブツ</t>
    </rPh>
    <rPh sb="15" eb="17">
      <t>ゾウカ</t>
    </rPh>
    <phoneticPr fontId="2"/>
  </si>
  <si>
    <t>固形物量合計(t-DS/日)(自動入力)</t>
    <rPh sb="0" eb="3">
      <t>コケイブツ</t>
    </rPh>
    <rPh sb="3" eb="4">
      <t>リョウ</t>
    </rPh>
    <rPh sb="15" eb="17">
      <t>ジドウ</t>
    </rPh>
    <rPh sb="17" eb="19">
      <t>ニュウリョク</t>
    </rPh>
    <phoneticPr fontId="2"/>
  </si>
  <si>
    <t>機内二液調質型脱水汚泥含水率(％)</t>
    <rPh sb="0" eb="2">
      <t>キナイ</t>
    </rPh>
    <rPh sb="2" eb="3">
      <t>ニ</t>
    </rPh>
    <rPh sb="3" eb="4">
      <t>エキ</t>
    </rPh>
    <rPh sb="4" eb="6">
      <t>チョウシツ</t>
    </rPh>
    <rPh sb="6" eb="7">
      <t>カタ</t>
    </rPh>
    <rPh sb="7" eb="9">
      <t>ダッスイ</t>
    </rPh>
    <rPh sb="9" eb="11">
      <t>オデイ</t>
    </rPh>
    <rPh sb="11" eb="13">
      <t>ガンスイ</t>
    </rPh>
    <rPh sb="13" eb="14">
      <t>リツ</t>
    </rPh>
    <phoneticPr fontId="2"/>
  </si>
  <si>
    <t>脱水汚泥焼却量：Xwb(t-wet/日)(自動入力)</t>
    <rPh sb="0" eb="2">
      <t>ダッスイ</t>
    </rPh>
    <rPh sb="2" eb="4">
      <t>オデイ</t>
    </rPh>
    <rPh sb="4" eb="6">
      <t>ショウキャク</t>
    </rPh>
    <rPh sb="6" eb="7">
      <t>リョウ</t>
    </rPh>
    <rPh sb="18" eb="19">
      <t>ニチ</t>
    </rPh>
    <phoneticPr fontId="2"/>
  </si>
  <si>
    <t>※1 検討処理場の実績値から算出した値。</t>
    <phoneticPr fontId="2"/>
  </si>
  <si>
    <t>総費用（年価換算値)</t>
    <rPh sb="0" eb="3">
      <t>ソウヒヨウ</t>
    </rPh>
    <rPh sb="4" eb="6">
      <t>ネンカ</t>
    </rPh>
    <rPh sb="6" eb="9">
      <t>カンサンチ</t>
    </rPh>
    <phoneticPr fontId="2"/>
  </si>
  <si>
    <t>※従来技術　（一液脱水機＋流動炉）</t>
    <rPh sb="1" eb="3">
      <t>ジュウライ</t>
    </rPh>
    <rPh sb="7" eb="8">
      <t>イチ</t>
    </rPh>
    <rPh sb="8" eb="9">
      <t>エキ</t>
    </rPh>
    <rPh sb="13" eb="15">
      <t>リュウドウ</t>
    </rPh>
    <phoneticPr fontId="2"/>
  </si>
  <si>
    <t>　革新的技術（機内二液調質型遠心脱水機＋階段炉（ボイラー付）＋蒸気発電機）</t>
    <phoneticPr fontId="2"/>
  </si>
  <si>
    <t>費用（百万円）</t>
    <rPh sb="0" eb="2">
      <t>ヒヨウ</t>
    </rPh>
    <rPh sb="3" eb="5">
      <t>ヒャクマン</t>
    </rPh>
    <rPh sb="5" eb="6">
      <t>エン</t>
    </rPh>
    <phoneticPr fontId="2"/>
  </si>
  <si>
    <t>従来技術</t>
    <phoneticPr fontId="2"/>
  </si>
  <si>
    <t>土木建築施設費</t>
    <rPh sb="4" eb="6">
      <t>シセツ</t>
    </rPh>
    <phoneticPr fontId="2"/>
  </si>
  <si>
    <t>百万円</t>
    <phoneticPr fontId="2"/>
  </si>
  <si>
    <r>
      <t>Y=0.227×（XD(t-DS/日)／1%）</t>
    </r>
    <r>
      <rPr>
        <vertAlign val="superscript"/>
        <sz val="11"/>
        <color theme="1"/>
        <rFont val="游ゴシック"/>
        <family val="3"/>
        <charset val="128"/>
        <scheme val="minor"/>
      </rPr>
      <t>0.444</t>
    </r>
    <r>
      <rPr>
        <sz val="11"/>
        <color theme="1"/>
        <rFont val="游ゴシック"/>
        <family val="3"/>
        <charset val="128"/>
        <scheme val="minor"/>
      </rPr>
      <t>×100</t>
    </r>
    <phoneticPr fontId="2"/>
  </si>
  <si>
    <t>①、XD：汚泥中固形物量(t-DS/日)
投入汚泥の濃度を1%として計画投入汚泥量を算出。</t>
    <phoneticPr fontId="2"/>
  </si>
  <si>
    <t>機械設備費</t>
    <rPh sb="0" eb="2">
      <t>キカイ</t>
    </rPh>
    <rPh sb="2" eb="4">
      <t>セツビ</t>
    </rPh>
    <rPh sb="4" eb="5">
      <t>ヒ</t>
    </rPh>
    <phoneticPr fontId="2"/>
  </si>
  <si>
    <r>
      <t>Y=0.434×（XD(t-DS/日)／1%）</t>
    </r>
    <r>
      <rPr>
        <vertAlign val="superscript"/>
        <sz val="11"/>
        <color theme="1"/>
        <rFont val="游ゴシック"/>
        <family val="3"/>
        <charset val="128"/>
        <scheme val="minor"/>
      </rPr>
      <t>0.373</t>
    </r>
    <r>
      <rPr>
        <sz val="11"/>
        <color theme="1"/>
        <rFont val="游ゴシック"/>
        <family val="3"/>
        <charset val="128"/>
        <scheme val="minor"/>
      </rPr>
      <t>×100</t>
    </r>
    <phoneticPr fontId="2"/>
  </si>
  <si>
    <t>②、XD：汚泥中固形物量(t-DS/日)
投入汚泥の濃度を1%として計画投入汚泥量を算出。脱水機付属盤からの二次側配線工事及び計装工事を含む。</t>
    <rPh sb="5" eb="7">
      <t>オデイ</t>
    </rPh>
    <rPh sb="7" eb="8">
      <t>チュウ</t>
    </rPh>
    <rPh sb="8" eb="11">
      <t>コケイブツ</t>
    </rPh>
    <rPh sb="11" eb="12">
      <t>リョウ</t>
    </rPh>
    <rPh sb="18" eb="19">
      <t>ニチ</t>
    </rPh>
    <rPh sb="42" eb="44">
      <t>サンシュツ</t>
    </rPh>
    <rPh sb="45" eb="48">
      <t>ダッスイキ</t>
    </rPh>
    <rPh sb="48" eb="50">
      <t>フゾク</t>
    </rPh>
    <rPh sb="50" eb="51">
      <t>バン</t>
    </rPh>
    <rPh sb="54" eb="56">
      <t>ニジ</t>
    </rPh>
    <rPh sb="56" eb="57">
      <t>ガワ</t>
    </rPh>
    <rPh sb="57" eb="59">
      <t>ハイセン</t>
    </rPh>
    <rPh sb="59" eb="61">
      <t>コウジ</t>
    </rPh>
    <rPh sb="61" eb="62">
      <t>オヨ</t>
    </rPh>
    <rPh sb="63" eb="65">
      <t>ケイソウ</t>
    </rPh>
    <rPh sb="65" eb="67">
      <t>コウジ</t>
    </rPh>
    <rPh sb="68" eb="69">
      <t>フク</t>
    </rPh>
    <phoneticPr fontId="2"/>
  </si>
  <si>
    <r>
      <t>Y=2.426Xw</t>
    </r>
    <r>
      <rPr>
        <vertAlign val="superscript"/>
        <sz val="11"/>
        <color theme="1"/>
        <rFont val="游ゴシック"/>
        <family val="3"/>
        <charset val="128"/>
        <scheme val="minor"/>
      </rPr>
      <t>0.0094</t>
    </r>
    <r>
      <rPr>
        <sz val="11"/>
        <color theme="1"/>
        <rFont val="游ゴシック"/>
        <family val="3"/>
        <charset val="128"/>
        <scheme val="minor"/>
      </rPr>
      <t>×100</t>
    </r>
    <phoneticPr fontId="2"/>
  </si>
  <si>
    <t>③、Xw：脱水汚泥焼却量(wet-t/日)</t>
    <rPh sb="5" eb="7">
      <t>ダッスイ</t>
    </rPh>
    <rPh sb="7" eb="9">
      <t>オデイ</t>
    </rPh>
    <rPh sb="9" eb="11">
      <t>ショウキャク</t>
    </rPh>
    <rPh sb="11" eb="12">
      <t>リョウ</t>
    </rPh>
    <rPh sb="19" eb="20">
      <t>ヒ</t>
    </rPh>
    <phoneticPr fontId="2"/>
  </si>
  <si>
    <r>
      <t>Y=1.888Xw</t>
    </r>
    <r>
      <rPr>
        <vertAlign val="superscript"/>
        <sz val="11"/>
        <color theme="1"/>
        <rFont val="游ゴシック"/>
        <family val="3"/>
        <charset val="128"/>
        <scheme val="minor"/>
      </rPr>
      <t>0.597</t>
    </r>
    <r>
      <rPr>
        <sz val="11"/>
        <color theme="1"/>
        <rFont val="游ゴシック"/>
        <family val="3"/>
        <charset val="128"/>
        <scheme val="minor"/>
      </rPr>
      <t>×100</t>
    </r>
    <phoneticPr fontId="2"/>
  </si>
  <si>
    <t>④、Xw：脱水汚泥焼却量(wet-t/日)</t>
    <phoneticPr fontId="2"/>
  </si>
  <si>
    <t>電気設備費</t>
    <rPh sb="0" eb="2">
      <t>デンキ</t>
    </rPh>
    <rPh sb="2" eb="4">
      <t>セツビ</t>
    </rPh>
    <rPh sb="4" eb="5">
      <t>ヒ</t>
    </rPh>
    <phoneticPr fontId="2"/>
  </si>
  <si>
    <r>
      <t>Y=0.726Xw</t>
    </r>
    <r>
      <rPr>
        <vertAlign val="superscript"/>
        <sz val="11"/>
        <color theme="1"/>
        <rFont val="游ゴシック"/>
        <family val="3"/>
        <charset val="128"/>
        <scheme val="minor"/>
      </rPr>
      <t>0.539</t>
    </r>
    <r>
      <rPr>
        <sz val="11"/>
        <color theme="1"/>
        <rFont val="游ゴシック"/>
        <family val="3"/>
        <charset val="128"/>
        <scheme val="minor"/>
      </rPr>
      <t>×100</t>
    </r>
    <phoneticPr fontId="2"/>
  </si>
  <si>
    <t>⑤、Xw：脱水汚泥焼却量(wet-t/日)</t>
    <phoneticPr fontId="2"/>
  </si>
  <si>
    <t>建設費合計</t>
    <phoneticPr fontId="2"/>
  </si>
  <si>
    <t>⑥：①＋②＋③＋④＋⑤</t>
    <phoneticPr fontId="2"/>
  </si>
  <si>
    <t>⑦、i：利子率、n：耐用年数
※工種別に年価を算出し、合計する。</t>
    <rPh sb="4" eb="7">
      <t>リシリツ</t>
    </rPh>
    <rPh sb="10" eb="12">
      <t>タイヨウ</t>
    </rPh>
    <rPh sb="12" eb="14">
      <t>ネンスウ</t>
    </rPh>
    <rPh sb="23" eb="25">
      <t>サンシュツ</t>
    </rPh>
    <phoneticPr fontId="2"/>
  </si>
  <si>
    <t>利子率</t>
    <rPh sb="0" eb="2">
      <t>リシ</t>
    </rPh>
    <rPh sb="2" eb="3">
      <t>リツ</t>
    </rPh>
    <phoneticPr fontId="2"/>
  </si>
  <si>
    <t>維持管理費
(電力、燃料、薬品費、補修費、人件費)</t>
    <rPh sb="0" eb="2">
      <t>イジ</t>
    </rPh>
    <rPh sb="2" eb="5">
      <t>カンリヒ</t>
    </rPh>
    <rPh sb="7" eb="9">
      <t>デンリョク</t>
    </rPh>
    <rPh sb="10" eb="12">
      <t>ネンリョウ</t>
    </rPh>
    <rPh sb="13" eb="15">
      <t>ヤクヒン</t>
    </rPh>
    <rPh sb="15" eb="16">
      <t>ヒ</t>
    </rPh>
    <rPh sb="17" eb="20">
      <t>ホシュウヒ</t>
    </rPh>
    <rPh sb="21" eb="24">
      <t>ジンケンヒ</t>
    </rPh>
    <phoneticPr fontId="2"/>
  </si>
  <si>
    <r>
      <t>Y</t>
    </r>
    <r>
      <rPr>
        <sz val="11"/>
        <color theme="1"/>
        <rFont val="游ゴシック"/>
        <family val="2"/>
        <charset val="128"/>
        <scheme val="minor"/>
      </rPr>
      <t>=0.039×（XD(t-DS/日)／1%×稼働日数(日/年)×
負荷率(％)）</t>
    </r>
    <r>
      <rPr>
        <vertAlign val="superscript"/>
        <sz val="11"/>
        <color theme="1"/>
        <rFont val="游ゴシック"/>
        <family val="3"/>
        <charset val="128"/>
        <scheme val="minor"/>
      </rPr>
      <t>0.596</t>
    </r>
    <rPh sb="23" eb="25">
      <t>カドウ</t>
    </rPh>
    <rPh sb="25" eb="27">
      <t>ニッスウ</t>
    </rPh>
    <rPh sb="28" eb="29">
      <t>ニチ</t>
    </rPh>
    <rPh sb="30" eb="31">
      <t>ネン</t>
    </rPh>
    <rPh sb="34" eb="36">
      <t>フカ</t>
    </rPh>
    <rPh sb="36" eb="37">
      <t>リツ</t>
    </rPh>
    <phoneticPr fontId="2"/>
  </si>
  <si>
    <t>⑧、XD：汚泥中固形物量(t-DS/日)
投入汚泥の濃度を1%として年間処理汚泥量を算出。</t>
    <rPh sb="34" eb="36">
      <t>ネンカン</t>
    </rPh>
    <rPh sb="36" eb="38">
      <t>ショリ</t>
    </rPh>
    <rPh sb="38" eb="40">
      <t>オデイ</t>
    </rPh>
    <rPh sb="40" eb="41">
      <t>リョウ</t>
    </rPh>
    <phoneticPr fontId="2"/>
  </si>
  <si>
    <t>耐用年数(年)</t>
    <rPh sb="0" eb="2">
      <t>タイヨウ</t>
    </rPh>
    <rPh sb="2" eb="4">
      <t>ネンスウ</t>
    </rPh>
    <rPh sb="5" eb="6">
      <t>ネン</t>
    </rPh>
    <phoneticPr fontId="2"/>
  </si>
  <si>
    <t>土木建築設備</t>
    <rPh sb="0" eb="2">
      <t>ドボク</t>
    </rPh>
    <rPh sb="2" eb="4">
      <t>ケンチク</t>
    </rPh>
    <rPh sb="4" eb="6">
      <t>セツビ</t>
    </rPh>
    <phoneticPr fontId="2"/>
  </si>
  <si>
    <t>脱水設備</t>
    <rPh sb="0" eb="4">
      <t>ダッスイセツビ</t>
    </rPh>
    <phoneticPr fontId="2"/>
  </si>
  <si>
    <r>
      <t>Y</t>
    </r>
    <r>
      <rPr>
        <sz val="11"/>
        <color theme="1"/>
        <rFont val="游ゴシック"/>
        <family val="2"/>
        <charset val="128"/>
        <scheme val="minor"/>
      </rPr>
      <t>=0.287（Xw(t-wet/日)×稼働日数(日/年)×
負荷率(％)）</t>
    </r>
    <r>
      <rPr>
        <vertAlign val="superscript"/>
        <sz val="11"/>
        <color theme="1"/>
        <rFont val="游ゴシック"/>
        <family val="3"/>
        <charset val="128"/>
        <scheme val="minor"/>
      </rPr>
      <t>0.673</t>
    </r>
    <rPh sb="17" eb="18">
      <t>ニチ</t>
    </rPh>
    <phoneticPr fontId="2"/>
  </si>
  <si>
    <t>⑨ 、Xw：脱水汚泥焼却量(wet-t/日)</t>
    <phoneticPr fontId="2"/>
  </si>
  <si>
    <t>維持管理費(灰処分費)</t>
    <rPh sb="0" eb="2">
      <t>イジ</t>
    </rPh>
    <rPh sb="2" eb="5">
      <t>カンリヒ</t>
    </rPh>
    <phoneticPr fontId="2"/>
  </si>
  <si>
    <r>
      <t>Y=XD(t-DS/日)×（1－固形物中可燃分率(%-DS))×稼働日数(日/年)×負荷率(％)／（1－0.3）×単価(円/t)×10</t>
    </r>
    <r>
      <rPr>
        <vertAlign val="superscript"/>
        <sz val="11"/>
        <color theme="1"/>
        <rFont val="游ゴシック"/>
        <family val="3"/>
        <charset val="128"/>
        <scheme val="minor"/>
      </rPr>
      <t>-6</t>
    </r>
    <rPh sb="10" eb="11">
      <t>ニチ</t>
    </rPh>
    <rPh sb="16" eb="19">
      <t>コケイブツ</t>
    </rPh>
    <rPh sb="19" eb="20">
      <t>チュウ</t>
    </rPh>
    <rPh sb="20" eb="22">
      <t>カネン</t>
    </rPh>
    <rPh sb="22" eb="23">
      <t>ブン</t>
    </rPh>
    <rPh sb="23" eb="24">
      <t>リツ</t>
    </rPh>
    <rPh sb="57" eb="59">
      <t>タンカ</t>
    </rPh>
    <rPh sb="60" eb="61">
      <t>エン</t>
    </rPh>
    <phoneticPr fontId="2"/>
  </si>
  <si>
    <t>⑩、XD：汚泥中固形物量(t-DS/日)
完全燃焼した灰(熱灼減量0%)を含水率30％に加湿して搬出するとして算出。</t>
    <rPh sb="21" eb="23">
      <t>カンゼン</t>
    </rPh>
    <rPh sb="23" eb="25">
      <t>ネンショウ</t>
    </rPh>
    <rPh sb="27" eb="28">
      <t>ハイ</t>
    </rPh>
    <rPh sb="29" eb="30">
      <t>ネツ</t>
    </rPh>
    <rPh sb="30" eb="31">
      <t>シャク</t>
    </rPh>
    <rPh sb="31" eb="33">
      <t>ゲンリョウ</t>
    </rPh>
    <rPh sb="37" eb="39">
      <t>ガンスイ</t>
    </rPh>
    <rPh sb="39" eb="40">
      <t>リツ</t>
    </rPh>
    <rPh sb="44" eb="46">
      <t>カシツ</t>
    </rPh>
    <rPh sb="48" eb="50">
      <t>ハンシュツ</t>
    </rPh>
    <rPh sb="55" eb="57">
      <t>サンシュツ</t>
    </rPh>
    <phoneticPr fontId="2"/>
  </si>
  <si>
    <t>※バイオソリッド利活用基本計画策定マニュアルに基づき設定</t>
    <rPh sb="23" eb="24">
      <t>モト</t>
    </rPh>
    <rPh sb="26" eb="28">
      <t>セッテイ</t>
    </rPh>
    <phoneticPr fontId="2"/>
  </si>
  <si>
    <t>焼却設備維持管理費合計</t>
    <rPh sb="0" eb="2">
      <t>ショウキャク</t>
    </rPh>
    <rPh sb="2" eb="4">
      <t>セツビ</t>
    </rPh>
    <rPh sb="4" eb="6">
      <t>イジ</t>
    </rPh>
    <rPh sb="6" eb="9">
      <t>カンリヒ</t>
    </rPh>
    <phoneticPr fontId="2"/>
  </si>
  <si>
    <t>⑪：⑨＋⑩</t>
    <phoneticPr fontId="2"/>
  </si>
  <si>
    <t>維持管理費合計</t>
    <rPh sb="0" eb="2">
      <t>イジ</t>
    </rPh>
    <rPh sb="2" eb="5">
      <t>カンリヒ</t>
    </rPh>
    <phoneticPr fontId="2"/>
  </si>
  <si>
    <t>⑫：⑧＋⑪</t>
    <phoneticPr fontId="2"/>
  </si>
  <si>
    <t>解体・撤去費</t>
    <rPh sb="0" eb="2">
      <t>カイタイ</t>
    </rPh>
    <rPh sb="3" eb="5">
      <t>テッキョ</t>
    </rPh>
    <rPh sb="5" eb="6">
      <t>ヒ</t>
    </rPh>
    <phoneticPr fontId="2"/>
  </si>
  <si>
    <t>Y=建設費年価×（労務費(15%)×撤去費(40%)＋スクラップ費(4%)）</t>
    <rPh sb="2" eb="5">
      <t>ケンセツヒ</t>
    </rPh>
    <rPh sb="5" eb="6">
      <t>ネン</t>
    </rPh>
    <rPh sb="6" eb="7">
      <t>カ</t>
    </rPh>
    <rPh sb="9" eb="12">
      <t>ロウムヒ</t>
    </rPh>
    <rPh sb="18" eb="20">
      <t>テッキョ</t>
    </rPh>
    <rPh sb="20" eb="21">
      <t>ヒ</t>
    </rPh>
    <rPh sb="32" eb="33">
      <t>ヒ</t>
    </rPh>
    <phoneticPr fontId="2"/>
  </si>
  <si>
    <t>⑬撤去費は労務費の40％、労務費は建設費の15％とする。またスクラップ費は建設費の4％とする。</t>
    <rPh sb="1" eb="3">
      <t>テッキョ</t>
    </rPh>
    <rPh sb="3" eb="4">
      <t>ヒ</t>
    </rPh>
    <rPh sb="5" eb="8">
      <t>ロウムヒ</t>
    </rPh>
    <rPh sb="13" eb="16">
      <t>ロウムヒ</t>
    </rPh>
    <rPh sb="17" eb="20">
      <t>ケンセツヒ</t>
    </rPh>
    <rPh sb="35" eb="36">
      <t>ヒ</t>
    </rPh>
    <rPh sb="37" eb="40">
      <t>ケンセツヒ</t>
    </rPh>
    <phoneticPr fontId="2"/>
  </si>
  <si>
    <t>a：⑦＋⑫＋⑬</t>
    <phoneticPr fontId="2"/>
  </si>
  <si>
    <t>機械設備費年価</t>
    <rPh sb="0" eb="2">
      <t>キカイ</t>
    </rPh>
    <rPh sb="2" eb="4">
      <t>セツビ</t>
    </rPh>
    <rPh sb="4" eb="5">
      <t>ヒ</t>
    </rPh>
    <rPh sb="5" eb="6">
      <t>ネン</t>
    </rPh>
    <rPh sb="6" eb="7">
      <t>カ</t>
    </rPh>
    <phoneticPr fontId="2"/>
  </si>
  <si>
    <t>Y=1.06×XD＋14.11</t>
    <phoneticPr fontId="2"/>
  </si>
  <si>
    <t>⑭、XD：汚泥中固形物量(t-DS/日)</t>
    <phoneticPr fontId="2"/>
  </si>
  <si>
    <t>Y=4.43×XD＋161.4</t>
    <phoneticPr fontId="2"/>
  </si>
  <si>
    <t>⑮、XD：汚泥中固形物量(t-DS/日)</t>
    <phoneticPr fontId="2"/>
  </si>
  <si>
    <t>電気設備費年価</t>
    <rPh sb="0" eb="2">
      <t>デンキ</t>
    </rPh>
    <rPh sb="2" eb="4">
      <t>セツビ</t>
    </rPh>
    <rPh sb="4" eb="5">
      <t>ヒ</t>
    </rPh>
    <rPh sb="5" eb="6">
      <t>ネン</t>
    </rPh>
    <rPh sb="6" eb="7">
      <t>カ</t>
    </rPh>
    <phoneticPr fontId="2"/>
  </si>
  <si>
    <t>Y=1.19×XD＋19.3</t>
    <phoneticPr fontId="2"/>
  </si>
  <si>
    <t>⑯、XD：汚泥中固形物量(t-DS/日)</t>
    <phoneticPr fontId="2"/>
  </si>
  <si>
    <t>Y=0.86×XD＋1.06</t>
    <phoneticPr fontId="2"/>
  </si>
  <si>
    <t>⑰、XD：汚泥中固形物量(t-DS/日)</t>
    <phoneticPr fontId="2"/>
  </si>
  <si>
    <t>Y=0.133×XD＋1.59</t>
    <phoneticPr fontId="2"/>
  </si>
  <si>
    <t>⑱、XD：汚泥中固形物量(t-DS/日)</t>
    <phoneticPr fontId="2"/>
  </si>
  <si>
    <t>土木建築施設費年価</t>
    <rPh sb="7" eb="8">
      <t>ネン</t>
    </rPh>
    <rPh sb="8" eb="9">
      <t>カ</t>
    </rPh>
    <phoneticPr fontId="2"/>
  </si>
  <si>
    <t>Y=0.071×XD＋5.19</t>
    <phoneticPr fontId="2"/>
  </si>
  <si>
    <t>⑲、XD：汚泥中固形物量(t-DS/日)</t>
    <phoneticPr fontId="2"/>
  </si>
  <si>
    <t>⑳：⑭＋⑮＋⑯＋⑰＋⑱＋⑲</t>
    <phoneticPr fontId="2"/>
  </si>
  <si>
    <t>維持管理費(消費電力)</t>
    <rPh sb="0" eb="2">
      <t>イジ</t>
    </rPh>
    <rPh sb="2" eb="5">
      <t>カンリヒ</t>
    </rPh>
    <rPh sb="6" eb="8">
      <t>ショウヒ</t>
    </rPh>
    <rPh sb="8" eb="10">
      <t>デンリョク</t>
    </rPh>
    <phoneticPr fontId="2"/>
  </si>
  <si>
    <t>MWh/年</t>
    <rPh sb="4" eb="5">
      <t>ネン</t>
    </rPh>
    <phoneticPr fontId="2"/>
  </si>
  <si>
    <t>Y= 20.39×XD－18.17</t>
    <phoneticPr fontId="2"/>
  </si>
  <si>
    <t>XD：汚泥中固形物量(t-DS/日)</t>
    <phoneticPr fontId="2"/>
  </si>
  <si>
    <r>
      <t>Y＝消費電力(MWh/年)×単価（円/kW)×10</t>
    </r>
    <r>
      <rPr>
        <vertAlign val="superscript"/>
        <sz val="11"/>
        <color theme="1"/>
        <rFont val="游ゴシック"/>
        <family val="3"/>
        <charset val="128"/>
        <scheme val="minor"/>
      </rPr>
      <t>-3</t>
    </r>
    <rPh sb="2" eb="4">
      <t>ショウヒ</t>
    </rPh>
    <rPh sb="4" eb="6">
      <t>デンリョク</t>
    </rPh>
    <rPh sb="11" eb="12">
      <t>ネン</t>
    </rPh>
    <rPh sb="14" eb="16">
      <t>タンカ</t>
    </rPh>
    <rPh sb="17" eb="18">
      <t>エン</t>
    </rPh>
    <phoneticPr fontId="2"/>
  </si>
  <si>
    <t>㉑</t>
    <phoneticPr fontId="2"/>
  </si>
  <si>
    <t>維持管理費(薬品費)</t>
    <phoneticPr fontId="2"/>
  </si>
  <si>
    <t>高分子(t/年)</t>
    <rPh sb="0" eb="3">
      <t>コウブンシ</t>
    </rPh>
    <phoneticPr fontId="2"/>
  </si>
  <si>
    <t>Y= 2.07×XD</t>
    <phoneticPr fontId="2"/>
  </si>
  <si>
    <t>無機(t/年)</t>
    <rPh sb="0" eb="2">
      <t>ムキ</t>
    </rPh>
    <phoneticPr fontId="2"/>
  </si>
  <si>
    <t>Y=29.57×XD</t>
    <phoneticPr fontId="2"/>
  </si>
  <si>
    <t>XD：汚泥中固形物量(t-DS/日)</t>
  </si>
  <si>
    <t>高分子
(百万円/年)</t>
    <rPh sb="0" eb="3">
      <t>コウブンシ</t>
    </rPh>
    <phoneticPr fontId="2"/>
  </si>
  <si>
    <r>
      <t>Y＝高分子(t/年)×単価（円/kg)×10</t>
    </r>
    <r>
      <rPr>
        <vertAlign val="superscript"/>
        <sz val="11"/>
        <color theme="1"/>
        <rFont val="游ゴシック"/>
        <family val="3"/>
        <charset val="128"/>
        <scheme val="minor"/>
      </rPr>
      <t>-3</t>
    </r>
    <rPh sb="2" eb="5">
      <t>コウブンシ</t>
    </rPh>
    <rPh sb="8" eb="9">
      <t>ネン</t>
    </rPh>
    <rPh sb="11" eb="13">
      <t>タンカ</t>
    </rPh>
    <rPh sb="14" eb="15">
      <t>エン</t>
    </rPh>
    <phoneticPr fontId="2"/>
  </si>
  <si>
    <t>㉒</t>
    <phoneticPr fontId="2"/>
  </si>
  <si>
    <t>無機
(百万円/年)</t>
    <rPh sb="0" eb="2">
      <t>ムキ</t>
    </rPh>
    <phoneticPr fontId="2"/>
  </si>
  <si>
    <r>
      <t>Y＝無機(t/年)×単価（円/kg)×10</t>
    </r>
    <r>
      <rPr>
        <vertAlign val="superscript"/>
        <sz val="11"/>
        <color theme="1"/>
        <rFont val="游ゴシック"/>
        <family val="3"/>
        <charset val="128"/>
        <scheme val="minor"/>
      </rPr>
      <t>-3</t>
    </r>
    <rPh sb="2" eb="4">
      <t>ムキ</t>
    </rPh>
    <rPh sb="7" eb="8">
      <t>ネン</t>
    </rPh>
    <rPh sb="10" eb="12">
      <t>タンカ</t>
    </rPh>
    <rPh sb="13" eb="14">
      <t>エン</t>
    </rPh>
    <phoneticPr fontId="2"/>
  </si>
  <si>
    <t>㉓</t>
    <phoneticPr fontId="2"/>
  </si>
  <si>
    <t>㉔：㉒＋㉓</t>
    <phoneticPr fontId="2"/>
  </si>
  <si>
    <t>焼却・発電設備</t>
    <rPh sb="0" eb="2">
      <t>ショウキャク</t>
    </rPh>
    <rPh sb="3" eb="5">
      <t>ハツデン</t>
    </rPh>
    <rPh sb="5" eb="7">
      <t>セツビ</t>
    </rPh>
    <phoneticPr fontId="2"/>
  </si>
  <si>
    <t>Y=39.39×XD+222.84</t>
    <phoneticPr fontId="2"/>
  </si>
  <si>
    <t>XD：汚泥中固形物量(t-DS/日)
発電設備消費電力を含む。</t>
    <rPh sb="19" eb="21">
      <t>ハツデン</t>
    </rPh>
    <rPh sb="21" eb="23">
      <t>セツビ</t>
    </rPh>
    <rPh sb="23" eb="25">
      <t>ショウヒ</t>
    </rPh>
    <rPh sb="25" eb="27">
      <t>デンリョク</t>
    </rPh>
    <rPh sb="28" eb="29">
      <t>フク</t>
    </rPh>
    <phoneticPr fontId="2"/>
  </si>
  <si>
    <r>
      <t>Y＝消費電力量(MWh/年)×単価（円/kW)×10</t>
    </r>
    <r>
      <rPr>
        <vertAlign val="superscript"/>
        <sz val="11"/>
        <color theme="1"/>
        <rFont val="游ゴシック"/>
        <family val="3"/>
        <charset val="128"/>
        <scheme val="minor"/>
      </rPr>
      <t>-3</t>
    </r>
    <rPh sb="2" eb="4">
      <t>ショウヒ</t>
    </rPh>
    <rPh sb="4" eb="6">
      <t>デンリョク</t>
    </rPh>
    <rPh sb="6" eb="7">
      <t>リョウ</t>
    </rPh>
    <rPh sb="12" eb="13">
      <t>ネン</t>
    </rPh>
    <rPh sb="15" eb="17">
      <t>タンカ</t>
    </rPh>
    <rPh sb="18" eb="19">
      <t>エン</t>
    </rPh>
    <phoneticPr fontId="2"/>
  </si>
  <si>
    <t>㉕</t>
    <phoneticPr fontId="2"/>
  </si>
  <si>
    <t>維持管理費(発電電力)</t>
    <rPh sb="0" eb="2">
      <t>イジ</t>
    </rPh>
    <rPh sb="2" eb="5">
      <t>カンリヒ</t>
    </rPh>
    <rPh sb="6" eb="8">
      <t>ハツデン</t>
    </rPh>
    <rPh sb="8" eb="10">
      <t>デンリョク</t>
    </rPh>
    <phoneticPr fontId="2"/>
  </si>
  <si>
    <t>MWh/年</t>
    <phoneticPr fontId="2"/>
  </si>
  <si>
    <t>Y=112.07×XD-217.98</t>
    <phoneticPr fontId="2"/>
  </si>
  <si>
    <r>
      <t>Y=発電電力量(MWh/年)×単価（円/kW)×10</t>
    </r>
    <r>
      <rPr>
        <vertAlign val="superscript"/>
        <sz val="11"/>
        <color theme="1"/>
        <rFont val="游ゴシック"/>
        <family val="3"/>
        <charset val="128"/>
        <scheme val="minor"/>
      </rPr>
      <t>-3</t>
    </r>
    <rPh sb="2" eb="4">
      <t>ハツデン</t>
    </rPh>
    <rPh sb="4" eb="6">
      <t>デンリョク</t>
    </rPh>
    <rPh sb="6" eb="7">
      <t>リョウ</t>
    </rPh>
    <rPh sb="12" eb="13">
      <t>ネン</t>
    </rPh>
    <rPh sb="15" eb="17">
      <t>タンカ</t>
    </rPh>
    <rPh sb="18" eb="19">
      <t>エン</t>
    </rPh>
    <phoneticPr fontId="2"/>
  </si>
  <si>
    <t>㉖</t>
    <phoneticPr fontId="2"/>
  </si>
  <si>
    <t>維持管理費(補助燃料費)</t>
    <rPh sb="6" eb="8">
      <t>ホジョ</t>
    </rPh>
    <rPh sb="8" eb="10">
      <t>ネンリョウ</t>
    </rPh>
    <rPh sb="10" eb="11">
      <t>ヒ</t>
    </rPh>
    <phoneticPr fontId="2"/>
  </si>
  <si>
    <t>kL/年</t>
    <rPh sb="3" eb="4">
      <t>ネン</t>
    </rPh>
    <phoneticPr fontId="2"/>
  </si>
  <si>
    <t>Y=0.098×XD</t>
    <phoneticPr fontId="2"/>
  </si>
  <si>
    <t>焼却炉の立ち上げ時のみ使用</t>
    <rPh sb="0" eb="2">
      <t>ショウキャク</t>
    </rPh>
    <rPh sb="2" eb="3">
      <t>ロ</t>
    </rPh>
    <rPh sb="4" eb="5">
      <t>タ</t>
    </rPh>
    <rPh sb="6" eb="7">
      <t>ア</t>
    </rPh>
    <rPh sb="8" eb="9">
      <t>ジ</t>
    </rPh>
    <rPh sb="11" eb="13">
      <t>シヨウ</t>
    </rPh>
    <phoneticPr fontId="2"/>
  </si>
  <si>
    <t>百万円/年</t>
    <phoneticPr fontId="2"/>
  </si>
  <si>
    <r>
      <t>Y=補助燃料使用量（kL/年)×単価（円/L)×10</t>
    </r>
    <r>
      <rPr>
        <vertAlign val="superscript"/>
        <sz val="11"/>
        <color theme="1"/>
        <rFont val="游ゴシック"/>
        <family val="3"/>
        <charset val="128"/>
        <scheme val="minor"/>
      </rPr>
      <t>-3</t>
    </r>
    <rPh sb="13" eb="14">
      <t>ネン</t>
    </rPh>
    <rPh sb="16" eb="18">
      <t>タンカ</t>
    </rPh>
    <rPh sb="19" eb="20">
      <t>エン</t>
    </rPh>
    <phoneticPr fontId="2"/>
  </si>
  <si>
    <t>㉗</t>
    <phoneticPr fontId="2"/>
  </si>
  <si>
    <t>維持管理費(薬品費)</t>
    <rPh sb="0" eb="2">
      <t>イジ</t>
    </rPh>
    <rPh sb="2" eb="5">
      <t>カンリヒ</t>
    </rPh>
    <rPh sb="6" eb="8">
      <t>ヤクヒン</t>
    </rPh>
    <rPh sb="8" eb="9">
      <t>ヒ</t>
    </rPh>
    <phoneticPr fontId="2"/>
  </si>
  <si>
    <t>苛性ソーダ
(t/年)</t>
    <rPh sb="0" eb="2">
      <t>カセイ</t>
    </rPh>
    <rPh sb="9" eb="10">
      <t>ネン</t>
    </rPh>
    <phoneticPr fontId="2"/>
  </si>
  <si>
    <t>Y=42.98×XD</t>
    <phoneticPr fontId="2"/>
  </si>
  <si>
    <r>
      <t>Y＝薬品使用量（t/年)×単価（円/kg)×10</t>
    </r>
    <r>
      <rPr>
        <vertAlign val="superscript"/>
        <sz val="11"/>
        <color theme="1"/>
        <rFont val="游ゴシック"/>
        <family val="3"/>
        <charset val="128"/>
        <scheme val="minor"/>
      </rPr>
      <t>-3</t>
    </r>
    <rPh sb="2" eb="4">
      <t>ヤクヒン</t>
    </rPh>
    <rPh sb="4" eb="7">
      <t>シヨウリョウ</t>
    </rPh>
    <rPh sb="10" eb="11">
      <t>ネン</t>
    </rPh>
    <rPh sb="13" eb="15">
      <t>タンカ</t>
    </rPh>
    <rPh sb="16" eb="17">
      <t>エン</t>
    </rPh>
    <phoneticPr fontId="2"/>
  </si>
  <si>
    <t>㉘</t>
    <phoneticPr fontId="2"/>
  </si>
  <si>
    <t>維持管理費(灰処分費)</t>
    <rPh sb="0" eb="2">
      <t>イジ</t>
    </rPh>
    <rPh sb="2" eb="5">
      <t>カンリヒ</t>
    </rPh>
    <rPh sb="6" eb="7">
      <t>ハイ</t>
    </rPh>
    <rPh sb="7" eb="9">
      <t>ショブン</t>
    </rPh>
    <rPh sb="9" eb="10">
      <t>ヒ</t>
    </rPh>
    <phoneticPr fontId="2"/>
  </si>
  <si>
    <t>灰発生量
(t/年)</t>
    <rPh sb="0" eb="1">
      <t>ハイ</t>
    </rPh>
    <rPh sb="1" eb="3">
      <t>ハッセイ</t>
    </rPh>
    <rPh sb="3" eb="4">
      <t>リョウ</t>
    </rPh>
    <rPh sb="8" eb="9">
      <t>ネン</t>
    </rPh>
    <phoneticPr fontId="2"/>
  </si>
  <si>
    <t>Y=75.56×XD</t>
    <phoneticPr fontId="2"/>
  </si>
  <si>
    <r>
      <t>Y=灰発生量(t/年)×単価(円/t)×10</t>
    </r>
    <r>
      <rPr>
        <vertAlign val="superscript"/>
        <sz val="11"/>
        <color theme="1"/>
        <rFont val="游ゴシック"/>
        <family val="3"/>
        <charset val="128"/>
        <scheme val="minor"/>
      </rPr>
      <t>-6</t>
    </r>
    <rPh sb="2" eb="3">
      <t>ハイ</t>
    </rPh>
    <rPh sb="3" eb="5">
      <t>ハッセイ</t>
    </rPh>
    <rPh sb="5" eb="6">
      <t>リョウ</t>
    </rPh>
    <rPh sb="9" eb="10">
      <t>ネン</t>
    </rPh>
    <rPh sb="12" eb="14">
      <t>タンカ</t>
    </rPh>
    <rPh sb="15" eb="16">
      <t>エン</t>
    </rPh>
    <phoneticPr fontId="2"/>
  </si>
  <si>
    <t>㉙</t>
    <phoneticPr fontId="2"/>
  </si>
  <si>
    <t>維持管理費(点検・補修費)</t>
    <rPh sb="0" eb="2">
      <t>イジ</t>
    </rPh>
    <rPh sb="2" eb="5">
      <t>カンリヒ</t>
    </rPh>
    <rPh sb="6" eb="8">
      <t>テンケン</t>
    </rPh>
    <rPh sb="9" eb="11">
      <t>ホシュウ</t>
    </rPh>
    <rPh sb="11" eb="12">
      <t>ヒ</t>
    </rPh>
    <phoneticPr fontId="2"/>
  </si>
  <si>
    <t>固定値</t>
    <rPh sb="0" eb="3">
      <t>コテイチ</t>
    </rPh>
    <phoneticPr fontId="2"/>
  </si>
  <si>
    <t>㉚</t>
    <phoneticPr fontId="2"/>
  </si>
  <si>
    <t>維持管理費(人件費)</t>
    <rPh sb="0" eb="2">
      <t>イジ</t>
    </rPh>
    <rPh sb="2" eb="5">
      <t>カンリヒ</t>
    </rPh>
    <rPh sb="6" eb="9">
      <t>ジンケンヒ</t>
    </rPh>
    <rPh sb="8" eb="9">
      <t>ヒ</t>
    </rPh>
    <phoneticPr fontId="2"/>
  </si>
  <si>
    <t>㉛</t>
    <phoneticPr fontId="2"/>
  </si>
  <si>
    <t>維持管理費合計</t>
    <rPh sb="0" eb="2">
      <t>イジ</t>
    </rPh>
    <rPh sb="2" eb="5">
      <t>カンリヒ</t>
    </rPh>
    <rPh sb="5" eb="7">
      <t>ゴウケイ</t>
    </rPh>
    <phoneticPr fontId="2"/>
  </si>
  <si>
    <t>㉜：㉑＋㉔＋㉕－㉖＋㉗＋㉘＋㉙＋㉚</t>
    <phoneticPr fontId="2"/>
  </si>
  <si>
    <t>㉝撤去費は労務費の40％、労務費は建設費の15％とする。またスクラップ費は建設費の4％とする。</t>
    <rPh sb="1" eb="3">
      <t>テッキョ</t>
    </rPh>
    <rPh sb="3" eb="4">
      <t>ヒ</t>
    </rPh>
    <rPh sb="5" eb="8">
      <t>ロウムヒ</t>
    </rPh>
    <rPh sb="13" eb="16">
      <t>ロウムヒ</t>
    </rPh>
    <rPh sb="17" eb="20">
      <t>ケンセツヒ</t>
    </rPh>
    <rPh sb="35" eb="36">
      <t>ヒ</t>
    </rPh>
    <rPh sb="37" eb="40">
      <t>ケンセツヒ</t>
    </rPh>
    <phoneticPr fontId="2"/>
  </si>
  <si>
    <t>b：⑳＋㉜＋㉝</t>
    <phoneticPr fontId="2"/>
  </si>
  <si>
    <t>(1-b/a)×100</t>
    <phoneticPr fontId="2"/>
  </si>
  <si>
    <t>費用削減効果</t>
    <rPh sb="0" eb="2">
      <t>ヒヨウ</t>
    </rPh>
    <rPh sb="2" eb="4">
      <t>サクゲン</t>
    </rPh>
    <rPh sb="4" eb="6">
      <t>コウカ</t>
    </rPh>
    <phoneticPr fontId="2"/>
  </si>
  <si>
    <t>建設費</t>
    <phoneticPr fontId="2"/>
  </si>
  <si>
    <t>a：⑥</t>
    <phoneticPr fontId="2"/>
  </si>
  <si>
    <t>Y=Σ[工種別建設費年価／i(1+i)n×{(1+i)n-1}]</t>
    <phoneticPr fontId="2"/>
  </si>
  <si>
    <t>b：⑭、⑮、⑯、⑰、⑱、⑲より算出</t>
    <rPh sb="15" eb="17">
      <t>サンシュツ</t>
    </rPh>
    <phoneticPr fontId="2"/>
  </si>
  <si>
    <t>革新的技術による建設費削減効果</t>
    <rPh sb="0" eb="3">
      <t>カクシンテキ</t>
    </rPh>
    <rPh sb="3" eb="5">
      <t>ギジュツ</t>
    </rPh>
    <rPh sb="8" eb="11">
      <t>ケンセツヒ</t>
    </rPh>
    <rPh sb="11" eb="13">
      <t>サクゲン</t>
    </rPh>
    <rPh sb="13" eb="15">
      <t>コウカ</t>
    </rPh>
    <phoneticPr fontId="2"/>
  </si>
  <si>
    <t>維持管理費</t>
    <rPh sb="0" eb="2">
      <t>イジ</t>
    </rPh>
    <rPh sb="2" eb="4">
      <t>カンリ</t>
    </rPh>
    <phoneticPr fontId="2"/>
  </si>
  <si>
    <t>㉜</t>
    <phoneticPr fontId="2"/>
  </si>
  <si>
    <t>革新的技術による維持管理費削減効果</t>
    <rPh sb="0" eb="3">
      <t>カクシンテキ</t>
    </rPh>
    <rPh sb="3" eb="5">
      <t>ギジュツ</t>
    </rPh>
    <rPh sb="8" eb="10">
      <t>イジ</t>
    </rPh>
    <rPh sb="10" eb="13">
      <t>カンリヒ</t>
    </rPh>
    <rPh sb="13" eb="15">
      <t>サクゲン</t>
    </rPh>
    <rPh sb="15" eb="17">
      <t>コウカ</t>
    </rPh>
    <phoneticPr fontId="2"/>
  </si>
  <si>
    <t>(1-㉜/⑫)×100</t>
    <phoneticPr fontId="2"/>
  </si>
  <si>
    <t>エネルギー消費量原単位</t>
    <rPh sb="5" eb="8">
      <t>ショウヒリョウ</t>
    </rPh>
    <rPh sb="8" eb="11">
      <t>ゲンタンイ</t>
    </rPh>
    <phoneticPr fontId="2"/>
  </si>
  <si>
    <t>消費電力量</t>
    <rPh sb="0" eb="2">
      <t>ショウヒ</t>
    </rPh>
    <rPh sb="2" eb="4">
      <t>デンリョク</t>
    </rPh>
    <rPh sb="4" eb="5">
      <t>リョウ</t>
    </rPh>
    <phoneticPr fontId="2"/>
  </si>
  <si>
    <r>
      <t>Y=22(kWh/wet-t)×Xw×稼働日数(日/年)×
負荷率(％)×10</t>
    </r>
    <r>
      <rPr>
        <vertAlign val="superscript"/>
        <sz val="11"/>
        <rFont val="游ゴシック"/>
        <family val="3"/>
        <charset val="128"/>
        <scheme val="minor"/>
      </rPr>
      <t>-3</t>
    </r>
    <rPh sb="19" eb="21">
      <t>カドウ</t>
    </rPh>
    <rPh sb="21" eb="23">
      <t>ニッスウ</t>
    </rPh>
    <rPh sb="24" eb="25">
      <t>ヒ</t>
    </rPh>
    <rPh sb="26" eb="27">
      <t>ネン</t>
    </rPh>
    <phoneticPr fontId="2"/>
  </si>
  <si>
    <t>①、Xw：脱水汚泥焼却量(wet-t/日)</t>
    <phoneticPr fontId="2"/>
  </si>
  <si>
    <t>電気</t>
    <rPh sb="0" eb="2">
      <t>デンキ</t>
    </rPh>
    <phoneticPr fontId="2"/>
  </si>
  <si>
    <t>(MJ/kWh)</t>
    <phoneticPr fontId="2"/>
  </si>
  <si>
    <r>
      <t>Y=(1.12Xw＋266)×稼働日数(日/年)×24(h/日)×
負荷率(％)×10</t>
    </r>
    <r>
      <rPr>
        <vertAlign val="superscript"/>
        <sz val="11"/>
        <rFont val="游ゴシック"/>
        <family val="3"/>
        <charset val="128"/>
        <scheme val="minor"/>
      </rPr>
      <t>-3</t>
    </r>
    <rPh sb="15" eb="17">
      <t>カドウ</t>
    </rPh>
    <rPh sb="17" eb="19">
      <t>ニッスウ</t>
    </rPh>
    <rPh sb="20" eb="21">
      <t>ヒ</t>
    </rPh>
    <rPh sb="22" eb="23">
      <t>ネン</t>
    </rPh>
    <rPh sb="30" eb="31">
      <t>ヒ</t>
    </rPh>
    <phoneticPr fontId="2"/>
  </si>
  <si>
    <t>②、Xw：脱水汚泥焼却量(wet-t/日)</t>
    <phoneticPr fontId="2"/>
  </si>
  <si>
    <t>補助燃料(A重油)</t>
    <rPh sb="0" eb="2">
      <t>ホジョ</t>
    </rPh>
    <rPh sb="2" eb="4">
      <t>ネンリョウ</t>
    </rPh>
    <rPh sb="6" eb="8">
      <t>ジュウユ</t>
    </rPh>
    <phoneticPr fontId="2"/>
  </si>
  <si>
    <t>消費電力量合計</t>
    <rPh sb="0" eb="2">
      <t>ショウヒ</t>
    </rPh>
    <rPh sb="2" eb="4">
      <t>デンリョク</t>
    </rPh>
    <rPh sb="4" eb="5">
      <t>リョウ</t>
    </rPh>
    <rPh sb="5" eb="7">
      <t>ゴウケイ</t>
    </rPh>
    <phoneticPr fontId="2"/>
  </si>
  <si>
    <t>③：①＋②</t>
    <phoneticPr fontId="2"/>
  </si>
  <si>
    <t>GJ/年</t>
    <rPh sb="3" eb="4">
      <t>ネン</t>
    </rPh>
    <phoneticPr fontId="2"/>
  </si>
  <si>
    <t>Y=消費電力合計(MWh/年)×エネルギー消費原単位(MJ/kWh)</t>
    <rPh sb="2" eb="4">
      <t>ショウヒ</t>
    </rPh>
    <rPh sb="4" eb="6">
      <t>デンリョク</t>
    </rPh>
    <rPh sb="6" eb="8">
      <t>ゴウケイ</t>
    </rPh>
    <rPh sb="13" eb="14">
      <t>ネン</t>
    </rPh>
    <rPh sb="21" eb="23">
      <t>ショウヒ</t>
    </rPh>
    <rPh sb="23" eb="26">
      <t>ゲンタンイ</t>
    </rPh>
    <phoneticPr fontId="2"/>
  </si>
  <si>
    <t>補助燃料</t>
    <rPh sb="0" eb="2">
      <t>ホジョ</t>
    </rPh>
    <rPh sb="2" eb="4">
      <t>ネンリョウ</t>
    </rPh>
    <phoneticPr fontId="2"/>
  </si>
  <si>
    <t>Y=消費電力量(MWh/年)×エネルギー消費原単位(MJ/kWh)
×20,467(GJ/年)/26,778(GJ/年)</t>
    <rPh sb="2" eb="4">
      <t>ショウヒ</t>
    </rPh>
    <rPh sb="4" eb="6">
      <t>デンリョク</t>
    </rPh>
    <rPh sb="6" eb="7">
      <t>リョウ</t>
    </rPh>
    <rPh sb="12" eb="13">
      <t>ネン</t>
    </rPh>
    <phoneticPr fontId="2"/>
  </si>
  <si>
    <t>⑤：メーカーヒアリング値を用いて消費電力量との比率て算出。</t>
    <rPh sb="11" eb="12">
      <t>アタイ</t>
    </rPh>
    <rPh sb="13" eb="14">
      <t>モチ</t>
    </rPh>
    <rPh sb="23" eb="25">
      <t>ヒリツ</t>
    </rPh>
    <rPh sb="26" eb="28">
      <t>サンシュツ</t>
    </rPh>
    <phoneticPr fontId="2"/>
  </si>
  <si>
    <t>エネルギー消費量合計</t>
    <rPh sb="5" eb="8">
      <t>ショウヒリョウ</t>
    </rPh>
    <rPh sb="8" eb="10">
      <t>ゴウケイ</t>
    </rPh>
    <phoneticPr fontId="2"/>
  </si>
  <si>
    <t>⑥：④＋⑤</t>
    <phoneticPr fontId="2"/>
  </si>
  <si>
    <t>⑦、XD：汚泥中固形物量(t-DS/日)</t>
    <phoneticPr fontId="2"/>
  </si>
  <si>
    <t>⑧、XD：汚泥中固形物量(t-DS/日)
発電設備消費電力を含む。</t>
    <rPh sb="21" eb="23">
      <t>ハツデン</t>
    </rPh>
    <rPh sb="23" eb="25">
      <t>セツビ</t>
    </rPh>
    <rPh sb="25" eb="27">
      <t>ショウヒ</t>
    </rPh>
    <rPh sb="27" eb="29">
      <t>デンリョク</t>
    </rPh>
    <rPh sb="30" eb="31">
      <t>フク</t>
    </rPh>
    <phoneticPr fontId="2"/>
  </si>
  <si>
    <t>⑨：⑦＋⑧</t>
    <phoneticPr fontId="2"/>
  </si>
  <si>
    <t>補助燃料（A重油）</t>
    <rPh sb="0" eb="2">
      <t>ホジョ</t>
    </rPh>
    <rPh sb="2" eb="4">
      <t>ネンリョウ</t>
    </rPh>
    <rPh sb="6" eb="8">
      <t>ジュウユ</t>
    </rPh>
    <phoneticPr fontId="2"/>
  </si>
  <si>
    <t>⑪、XD：汚泥中固形物量(t-DS/日)</t>
    <phoneticPr fontId="2"/>
  </si>
  <si>
    <t>Y=補助燃料(kL/年)×エネルギー消費原単位(MJ/L)</t>
    <rPh sb="2" eb="4">
      <t>ホジョ</t>
    </rPh>
    <rPh sb="4" eb="6">
      <t>ネンリョウ</t>
    </rPh>
    <rPh sb="10" eb="11">
      <t>ネン</t>
    </rPh>
    <phoneticPr fontId="2"/>
  </si>
  <si>
    <t>⑬：⑩＋⑫</t>
    <phoneticPr fontId="2"/>
  </si>
  <si>
    <t>発電電力量（エネルギー創出量）</t>
    <rPh sb="0" eb="2">
      <t>ハツデン</t>
    </rPh>
    <rPh sb="2" eb="4">
      <t>デンリョク</t>
    </rPh>
    <rPh sb="4" eb="5">
      <t>リョウ</t>
    </rPh>
    <rPh sb="11" eb="13">
      <t>ソウシュツ</t>
    </rPh>
    <rPh sb="13" eb="14">
      <t>リョウ</t>
    </rPh>
    <phoneticPr fontId="2"/>
  </si>
  <si>
    <t>Y=発電電力(MWh/年)×エネルギー消費原単位(MJ/kWh)</t>
    <rPh sb="2" eb="4">
      <t>ハツデン</t>
    </rPh>
    <rPh sb="4" eb="6">
      <t>デンリョク</t>
    </rPh>
    <phoneticPr fontId="2"/>
  </si>
  <si>
    <t>⑮</t>
    <phoneticPr fontId="2"/>
  </si>
  <si>
    <t>正味のエネルギー消費量合計</t>
    <rPh sb="0" eb="2">
      <t>ショウミ</t>
    </rPh>
    <rPh sb="8" eb="11">
      <t>ショウヒリョウ</t>
    </rPh>
    <rPh sb="11" eb="13">
      <t>ゴウケイ</t>
    </rPh>
    <phoneticPr fontId="2"/>
  </si>
  <si>
    <t>⑯：⑬－⑮</t>
    <phoneticPr fontId="2"/>
  </si>
  <si>
    <t>－(マイナス)はエネルギー創出を示す。</t>
    <rPh sb="13" eb="15">
      <t>ソウシュツ</t>
    </rPh>
    <rPh sb="16" eb="17">
      <t>シメ</t>
    </rPh>
    <phoneticPr fontId="2"/>
  </si>
  <si>
    <t>(1-⑯/⑥)×100</t>
    <phoneticPr fontId="2"/>
  </si>
  <si>
    <t>←計算参照セル修正しました。</t>
    <rPh sb="1" eb="3">
      <t>ケイサン</t>
    </rPh>
    <rPh sb="3" eb="5">
      <t>サンショウ</t>
    </rPh>
    <rPh sb="7" eb="9">
      <t>シュウセイ</t>
    </rPh>
    <phoneticPr fontId="2"/>
  </si>
  <si>
    <t>温室効果ガス排出量原単位</t>
    <rPh sb="0" eb="2">
      <t>オンシツ</t>
    </rPh>
    <rPh sb="2" eb="4">
      <t>コウカ</t>
    </rPh>
    <rPh sb="6" eb="8">
      <t>ハイシュツ</t>
    </rPh>
    <rPh sb="8" eb="9">
      <t>リョウ</t>
    </rPh>
    <rPh sb="9" eb="12">
      <t>ゲンタンイ</t>
    </rPh>
    <phoneticPr fontId="2"/>
  </si>
  <si>
    <r>
      <t>Y=消費電力量(MWh/年)×原単位(電気、kg-CO</t>
    </r>
    <r>
      <rPr>
        <vertAlign val="subscript"/>
        <sz val="11"/>
        <color theme="1"/>
        <rFont val="游ゴシック"/>
        <family val="3"/>
        <charset val="128"/>
        <scheme val="minor"/>
      </rPr>
      <t>2</t>
    </r>
    <r>
      <rPr>
        <sz val="11"/>
        <color theme="1"/>
        <rFont val="游ゴシック"/>
        <family val="2"/>
        <charset val="128"/>
        <scheme val="minor"/>
      </rPr>
      <t>/kWh)</t>
    </r>
    <rPh sb="2" eb="4">
      <t>ショウヒ</t>
    </rPh>
    <rPh sb="4" eb="6">
      <t>デンリョク</t>
    </rPh>
    <rPh sb="6" eb="7">
      <t>リョウ</t>
    </rPh>
    <rPh sb="12" eb="13">
      <t>ネン</t>
    </rPh>
    <rPh sb="15" eb="18">
      <t>ゲンタンイ</t>
    </rPh>
    <rPh sb="19" eb="21">
      <t>デンキ</t>
    </rPh>
    <phoneticPr fontId="2"/>
  </si>
  <si>
    <t>①</t>
    <phoneticPr fontId="2"/>
  </si>
  <si>
    <t>高分子凝集剤由来GHG排出量</t>
    <rPh sb="0" eb="3">
      <t>コウブンシ</t>
    </rPh>
    <rPh sb="3" eb="5">
      <t>ギョウシュウ</t>
    </rPh>
    <rPh sb="5" eb="6">
      <t>ザイ</t>
    </rPh>
    <rPh sb="6" eb="8">
      <t>ユライ</t>
    </rPh>
    <rPh sb="11" eb="14">
      <t>ハイシュツリョウ</t>
    </rPh>
    <phoneticPr fontId="2"/>
  </si>
  <si>
    <t>Y=0.005XD×稼働日数(日/年)×負荷率(％)</t>
    <rPh sb="10" eb="12">
      <t>カドウ</t>
    </rPh>
    <rPh sb="12" eb="14">
      <t>ニッスウ</t>
    </rPh>
    <rPh sb="15" eb="16">
      <t>ニチ</t>
    </rPh>
    <rPh sb="17" eb="18">
      <t>ネン</t>
    </rPh>
    <rPh sb="20" eb="22">
      <t>フカ</t>
    </rPh>
    <rPh sb="22" eb="23">
      <t>リツ</t>
    </rPh>
    <phoneticPr fontId="2"/>
  </si>
  <si>
    <t>②、XD：汚泥中固形物量(t-DS/日)</t>
    <phoneticPr fontId="2"/>
  </si>
  <si>
    <r>
      <t>(kg-CO</t>
    </r>
    <r>
      <rPr>
        <vertAlign val="subscript"/>
        <sz val="11"/>
        <color theme="1"/>
        <rFont val="游ゴシック"/>
        <family val="3"/>
        <charset val="128"/>
        <scheme val="minor"/>
      </rPr>
      <t>2</t>
    </r>
    <r>
      <rPr>
        <sz val="11"/>
        <color theme="1"/>
        <rFont val="游ゴシック"/>
        <family val="2"/>
        <charset val="128"/>
        <scheme val="minor"/>
      </rPr>
      <t>/kWh)</t>
    </r>
    <phoneticPr fontId="2"/>
  </si>
  <si>
    <t>×原単位(高分子凝集剤、kg-CO2/kg)</t>
    <phoneticPr fontId="2"/>
  </si>
  <si>
    <t>薬注率0.5%-TSにて算出。</t>
    <rPh sb="0" eb="1">
      <t>ヤク</t>
    </rPh>
    <rPh sb="1" eb="2">
      <t>チュウ</t>
    </rPh>
    <rPh sb="2" eb="3">
      <t>リツ</t>
    </rPh>
    <rPh sb="12" eb="14">
      <t>サンシュツ</t>
    </rPh>
    <phoneticPr fontId="2"/>
  </si>
  <si>
    <t>焼却設備</t>
    <phoneticPr fontId="2"/>
  </si>
  <si>
    <t>③</t>
    <phoneticPr fontId="2"/>
  </si>
  <si>
    <r>
      <t>(kg-CO</t>
    </r>
    <r>
      <rPr>
        <vertAlign val="subscript"/>
        <sz val="11"/>
        <color theme="1"/>
        <rFont val="游ゴシック"/>
        <family val="3"/>
        <charset val="128"/>
        <scheme val="minor"/>
      </rPr>
      <t>2</t>
    </r>
    <r>
      <rPr>
        <sz val="11"/>
        <color theme="1"/>
        <rFont val="游ゴシック"/>
        <family val="2"/>
        <charset val="128"/>
        <scheme val="minor"/>
      </rPr>
      <t>/L)</t>
    </r>
    <phoneticPr fontId="2"/>
  </si>
  <si>
    <t>補助燃料由来GHG排出量</t>
    <rPh sb="0" eb="2">
      <t>ホジョ</t>
    </rPh>
    <rPh sb="2" eb="4">
      <t>ネンリョウ</t>
    </rPh>
    <rPh sb="4" eb="6">
      <t>ユライ</t>
    </rPh>
    <rPh sb="9" eb="12">
      <t>ハイシュツリョウ</t>
    </rPh>
    <phoneticPr fontId="2"/>
  </si>
  <si>
    <t>Y=補助燃料(GJ/年)/エネルギー消費量原単位(補助燃料、MJ/L)</t>
    <rPh sb="2" eb="4">
      <t>ホジョ</t>
    </rPh>
    <rPh sb="4" eb="6">
      <t>ネンリョウ</t>
    </rPh>
    <rPh sb="10" eb="11">
      <t>ネン</t>
    </rPh>
    <rPh sb="18" eb="21">
      <t>ショウヒリョウ</t>
    </rPh>
    <rPh sb="21" eb="24">
      <t>ゲンタンイ</t>
    </rPh>
    <rPh sb="25" eb="27">
      <t>ホジョ</t>
    </rPh>
    <rPh sb="27" eb="29">
      <t>ネンリョウ</t>
    </rPh>
    <phoneticPr fontId="2"/>
  </si>
  <si>
    <t>高分子凝集剤</t>
    <rPh sb="0" eb="3">
      <t>コウブンシ</t>
    </rPh>
    <rPh sb="3" eb="5">
      <t>ギョウシュウ</t>
    </rPh>
    <rPh sb="5" eb="6">
      <t>ザイ</t>
    </rPh>
    <phoneticPr fontId="2"/>
  </si>
  <si>
    <t>×原単位(補助燃料、kg-CO2/L)</t>
    <rPh sb="5" eb="7">
      <t>ホジョ</t>
    </rPh>
    <rPh sb="7" eb="9">
      <t>ネンリョウ</t>
    </rPh>
    <phoneticPr fontId="2"/>
  </si>
  <si>
    <r>
      <t>(kg-CO</t>
    </r>
    <r>
      <rPr>
        <vertAlign val="subscript"/>
        <sz val="11"/>
        <color theme="1"/>
        <rFont val="游ゴシック"/>
        <family val="3"/>
        <charset val="128"/>
        <scheme val="minor"/>
      </rPr>
      <t>2</t>
    </r>
    <r>
      <rPr>
        <sz val="11"/>
        <color theme="1"/>
        <rFont val="游ゴシック"/>
        <family val="2"/>
        <charset val="128"/>
        <scheme val="minor"/>
      </rPr>
      <t>/kg)</t>
    </r>
    <r>
      <rPr>
        <vertAlign val="superscript"/>
        <sz val="11"/>
        <color theme="1"/>
        <rFont val="游ゴシック"/>
        <family val="3"/>
        <charset val="128"/>
        <scheme val="minor"/>
      </rPr>
      <t>※1</t>
    </r>
    <phoneticPr fontId="2"/>
  </si>
  <si>
    <t>苛性ソーダ由来GHG排出量</t>
    <rPh sb="0" eb="2">
      <t>カセイ</t>
    </rPh>
    <rPh sb="5" eb="7">
      <t>ユライ</t>
    </rPh>
    <rPh sb="10" eb="13">
      <t>ハイシュツリョウ</t>
    </rPh>
    <phoneticPr fontId="2"/>
  </si>
  <si>
    <t>Y=814(24%苛性ソーダ使用量、t/年)/100(ベース脱水汚泥焼却量(wet-t/日))×Xw×原単位(苛性ソーダ、kg-CO2/kg)×0.24</t>
    <rPh sb="9" eb="11">
      <t>カセイ</t>
    </rPh>
    <rPh sb="14" eb="16">
      <t>シヨウ</t>
    </rPh>
    <rPh sb="16" eb="17">
      <t>リョウ</t>
    </rPh>
    <rPh sb="20" eb="21">
      <t>ネン</t>
    </rPh>
    <rPh sb="51" eb="54">
      <t>ゲンタンイ</t>
    </rPh>
    <phoneticPr fontId="2"/>
  </si>
  <si>
    <t>⑤、メーカーヒアリング値を基に</t>
    <rPh sb="11" eb="12">
      <t>アタイ</t>
    </rPh>
    <rPh sb="13" eb="14">
      <t>モト</t>
    </rPh>
    <phoneticPr fontId="2"/>
  </si>
  <si>
    <t>無機凝集剤</t>
    <rPh sb="0" eb="2">
      <t>ムキ</t>
    </rPh>
    <rPh sb="2" eb="4">
      <t>ギョウシュウ</t>
    </rPh>
    <rPh sb="4" eb="5">
      <t>ザイ</t>
    </rPh>
    <phoneticPr fontId="2"/>
  </si>
  <si>
    <t>焼却量比例にて算出。</t>
    <phoneticPr fontId="2"/>
  </si>
  <si>
    <r>
      <t>(kg-CO</t>
    </r>
    <r>
      <rPr>
        <vertAlign val="subscript"/>
        <sz val="11"/>
        <color theme="1"/>
        <rFont val="游ゴシック"/>
        <family val="3"/>
        <charset val="128"/>
        <scheme val="minor"/>
      </rPr>
      <t>2</t>
    </r>
    <r>
      <rPr>
        <sz val="11"/>
        <color theme="1"/>
        <rFont val="游ゴシック"/>
        <family val="2"/>
        <charset val="128"/>
        <scheme val="minor"/>
      </rPr>
      <t>/kg)</t>
    </r>
    <r>
      <rPr>
        <vertAlign val="superscript"/>
        <sz val="11"/>
        <color theme="1"/>
        <rFont val="游ゴシック"/>
        <family val="3"/>
        <charset val="128"/>
        <scheme val="minor"/>
      </rPr>
      <t>※2</t>
    </r>
    <phoneticPr fontId="2"/>
  </si>
  <si>
    <t>共用段階時合計</t>
    <rPh sb="0" eb="2">
      <t>キョウヨウ</t>
    </rPh>
    <rPh sb="2" eb="4">
      <t>ダンカイ</t>
    </rPh>
    <rPh sb="4" eb="5">
      <t>ジ</t>
    </rPh>
    <rPh sb="5" eb="7">
      <t>ゴウケイ</t>
    </rPh>
    <phoneticPr fontId="2"/>
  </si>
  <si>
    <t>⑥：①+②+③+④+⑤</t>
    <phoneticPr fontId="2"/>
  </si>
  <si>
    <t>苛性ソーダ</t>
    <rPh sb="0" eb="2">
      <t>カセイ</t>
    </rPh>
    <phoneticPr fontId="2"/>
  </si>
  <si>
    <r>
      <t>(kg-CO</t>
    </r>
    <r>
      <rPr>
        <vertAlign val="subscript"/>
        <sz val="11"/>
        <color theme="1"/>
        <rFont val="游ゴシック"/>
        <family val="3"/>
        <charset val="128"/>
        <scheme val="minor"/>
      </rPr>
      <t>2</t>
    </r>
    <r>
      <rPr>
        <sz val="11"/>
        <color theme="1"/>
        <rFont val="游ゴシック"/>
        <family val="2"/>
        <charset val="128"/>
        <scheme val="minor"/>
      </rPr>
      <t>/kg)</t>
    </r>
    <r>
      <rPr>
        <vertAlign val="superscript"/>
        <sz val="11"/>
        <color theme="1"/>
        <rFont val="游ゴシック"/>
        <family val="3"/>
        <charset val="128"/>
        <scheme val="minor"/>
      </rPr>
      <t>※3</t>
    </r>
    <phoneticPr fontId="2"/>
  </si>
  <si>
    <t>※1：粉体基準</t>
    <rPh sb="3" eb="5">
      <t>フンタイ</t>
    </rPh>
    <rPh sb="5" eb="7">
      <t>キジュン</t>
    </rPh>
    <phoneticPr fontId="2"/>
  </si>
  <si>
    <r>
      <t>N</t>
    </r>
    <r>
      <rPr>
        <vertAlign val="subscript"/>
        <sz val="11"/>
        <rFont val="游ゴシック"/>
        <family val="3"/>
        <charset val="128"/>
        <scheme val="minor"/>
      </rPr>
      <t>2</t>
    </r>
    <r>
      <rPr>
        <sz val="11"/>
        <rFont val="游ゴシック"/>
        <family val="3"/>
        <charset val="128"/>
        <scheme val="minor"/>
      </rPr>
      <t>O排出量　(t-N</t>
    </r>
    <r>
      <rPr>
        <vertAlign val="subscript"/>
        <sz val="11"/>
        <rFont val="游ゴシック"/>
        <family val="3"/>
        <charset val="128"/>
        <scheme val="minor"/>
      </rPr>
      <t>2</t>
    </r>
    <r>
      <rPr>
        <sz val="11"/>
        <rFont val="游ゴシック"/>
        <family val="3"/>
        <charset val="128"/>
        <scheme val="minor"/>
      </rPr>
      <t>O/年)</t>
    </r>
    <rPh sb="3" eb="6">
      <t>ハイシュツリョウ</t>
    </rPh>
    <rPh sb="14" eb="15">
      <t>ネン</t>
    </rPh>
    <phoneticPr fontId="2"/>
  </si>
  <si>
    <r>
      <t>Y=0.000645(t-N</t>
    </r>
    <r>
      <rPr>
        <vertAlign val="subscript"/>
        <sz val="11"/>
        <color theme="1"/>
        <rFont val="游ゴシック"/>
        <family val="3"/>
        <charset val="128"/>
        <scheme val="minor"/>
      </rPr>
      <t>2</t>
    </r>
    <r>
      <rPr>
        <sz val="11"/>
        <color theme="1"/>
        <rFont val="游ゴシック"/>
        <family val="2"/>
        <charset val="128"/>
        <scheme val="minor"/>
      </rPr>
      <t>O/wet-t)Xw×稼働日数(日/年)×負荷率(%)</t>
    </r>
    <rPh sb="26" eb="28">
      <t>カドウ</t>
    </rPh>
    <rPh sb="28" eb="30">
      <t>ニッスウ</t>
    </rPh>
    <rPh sb="31" eb="32">
      <t>ヒ</t>
    </rPh>
    <rPh sb="33" eb="34">
      <t>ネン</t>
    </rPh>
    <rPh sb="36" eb="38">
      <t>フカ</t>
    </rPh>
    <rPh sb="38" eb="39">
      <t>リツ</t>
    </rPh>
    <phoneticPr fontId="2"/>
  </si>
  <si>
    <t>Xw：脱水汚泥焼却量(wet-t/日)</t>
    <phoneticPr fontId="2"/>
  </si>
  <si>
    <t>※2：ポリ鉄、11%水溶液ベース</t>
    <rPh sb="5" eb="6">
      <t>テツ</t>
    </rPh>
    <rPh sb="10" eb="13">
      <t>スイヨウエキ</t>
    </rPh>
    <phoneticPr fontId="2"/>
  </si>
  <si>
    <t>※3：濃度100％</t>
    <rPh sb="3" eb="5">
      <t>ノウド</t>
    </rPh>
    <phoneticPr fontId="2"/>
  </si>
  <si>
    <r>
      <t>Y=N</t>
    </r>
    <r>
      <rPr>
        <vertAlign val="subscript"/>
        <sz val="11"/>
        <color theme="1"/>
        <rFont val="游ゴシック"/>
        <family val="3"/>
        <charset val="128"/>
        <scheme val="minor"/>
      </rPr>
      <t>2</t>
    </r>
    <r>
      <rPr>
        <sz val="11"/>
        <color theme="1"/>
        <rFont val="游ゴシック"/>
        <family val="2"/>
        <charset val="128"/>
        <scheme val="minor"/>
      </rPr>
      <t>O排出量(t-N</t>
    </r>
    <r>
      <rPr>
        <vertAlign val="subscript"/>
        <sz val="11"/>
        <color theme="1"/>
        <rFont val="游ゴシック"/>
        <family val="3"/>
        <charset val="128"/>
        <scheme val="minor"/>
      </rPr>
      <t>2</t>
    </r>
    <r>
      <rPr>
        <sz val="11"/>
        <color theme="1"/>
        <rFont val="游ゴシック"/>
        <family val="2"/>
        <charset val="128"/>
        <scheme val="minor"/>
      </rPr>
      <t>O/年)×298(t-CO</t>
    </r>
    <r>
      <rPr>
        <vertAlign val="subscript"/>
        <sz val="11"/>
        <color theme="1"/>
        <rFont val="游ゴシック"/>
        <family val="3"/>
        <charset val="128"/>
        <scheme val="minor"/>
      </rPr>
      <t>2</t>
    </r>
    <r>
      <rPr>
        <sz val="11"/>
        <color theme="1"/>
        <rFont val="游ゴシック"/>
        <family val="2"/>
        <charset val="128"/>
        <scheme val="minor"/>
      </rPr>
      <t>/t-N</t>
    </r>
    <r>
      <rPr>
        <vertAlign val="subscript"/>
        <sz val="11"/>
        <color theme="1"/>
        <rFont val="游ゴシック"/>
        <family val="3"/>
        <charset val="128"/>
        <scheme val="minor"/>
      </rPr>
      <t>2</t>
    </r>
    <r>
      <rPr>
        <sz val="11"/>
        <color theme="1"/>
        <rFont val="游ゴシック"/>
        <family val="2"/>
        <charset val="128"/>
        <scheme val="minor"/>
      </rPr>
      <t>O)</t>
    </r>
    <rPh sb="5" eb="8">
      <t>ハイシュツリョウ</t>
    </rPh>
    <rPh sb="15" eb="16">
      <t>ネン</t>
    </rPh>
    <phoneticPr fontId="2"/>
  </si>
  <si>
    <t>⑩：⑥+⑦+⑧+⑨</t>
    <phoneticPr fontId="2"/>
  </si>
  <si>
    <t>革新的技術</t>
    <rPh sb="0" eb="3">
      <t>カクシンテキ</t>
    </rPh>
    <phoneticPr fontId="2"/>
  </si>
  <si>
    <t>Y=0.007XD×稼働日数(日/年)×負荷率(％)</t>
    <rPh sb="10" eb="12">
      <t>カドウ</t>
    </rPh>
    <rPh sb="12" eb="14">
      <t>ニッスウ</t>
    </rPh>
    <rPh sb="15" eb="16">
      <t>ニチ</t>
    </rPh>
    <rPh sb="17" eb="18">
      <t>ネン</t>
    </rPh>
    <rPh sb="20" eb="22">
      <t>フカ</t>
    </rPh>
    <rPh sb="22" eb="23">
      <t>リツ</t>
    </rPh>
    <phoneticPr fontId="2"/>
  </si>
  <si>
    <t>⑫、XD：汚泥中固形物量(t-DS/日)</t>
    <phoneticPr fontId="2"/>
  </si>
  <si>
    <t>薬注率0.7%-TSにて算出。</t>
    <rPh sb="0" eb="1">
      <t>ヤク</t>
    </rPh>
    <rPh sb="1" eb="2">
      <t>チュウ</t>
    </rPh>
    <rPh sb="2" eb="3">
      <t>リツ</t>
    </rPh>
    <rPh sb="12" eb="14">
      <t>サンシュツ</t>
    </rPh>
    <phoneticPr fontId="2"/>
  </si>
  <si>
    <t>無機凝集剤由来GHG排出量</t>
    <rPh sb="0" eb="2">
      <t>ムキ</t>
    </rPh>
    <rPh sb="2" eb="4">
      <t>ギョウシュウ</t>
    </rPh>
    <rPh sb="4" eb="5">
      <t>ザイ</t>
    </rPh>
    <rPh sb="5" eb="7">
      <t>ユライ</t>
    </rPh>
    <rPh sb="10" eb="13">
      <t>ハイシュツリョウ</t>
    </rPh>
    <phoneticPr fontId="2"/>
  </si>
  <si>
    <t>Y=0.1XD×稼働日数(日/年)×負荷率(％)</t>
    <rPh sb="8" eb="10">
      <t>カドウ</t>
    </rPh>
    <rPh sb="10" eb="12">
      <t>ニッスウ</t>
    </rPh>
    <rPh sb="13" eb="14">
      <t>ニチ</t>
    </rPh>
    <rPh sb="15" eb="16">
      <t>ネン</t>
    </rPh>
    <rPh sb="18" eb="20">
      <t>フカ</t>
    </rPh>
    <rPh sb="20" eb="21">
      <t>リツ</t>
    </rPh>
    <phoneticPr fontId="2"/>
  </si>
  <si>
    <t>⑬、XD：汚泥中固形物量(t-DS/日)</t>
    <phoneticPr fontId="2"/>
  </si>
  <si>
    <t>×原単位(無機凝集剤、kg-CO2/kg)</t>
    <rPh sb="5" eb="7">
      <t>ムキ</t>
    </rPh>
    <phoneticPr fontId="2"/>
  </si>
  <si>
    <t>薬注率10%-TSにて算出。</t>
    <rPh sb="0" eb="1">
      <t>ヤク</t>
    </rPh>
    <rPh sb="1" eb="2">
      <t>チュウ</t>
    </rPh>
    <rPh sb="2" eb="3">
      <t>リツ</t>
    </rPh>
    <rPh sb="11" eb="13">
      <t>サンシュツ</t>
    </rPh>
    <phoneticPr fontId="2"/>
  </si>
  <si>
    <t>焼却・発電設備</t>
    <rPh sb="3" eb="5">
      <t>ハツデン</t>
    </rPh>
    <phoneticPr fontId="2"/>
  </si>
  <si>
    <t>Y=補助燃料(kL/年)×原単位(補助燃料、kg-CO2/L)</t>
    <rPh sb="2" eb="4">
      <t>ホジョ</t>
    </rPh>
    <rPh sb="4" eb="6">
      <t>ネンリョウ</t>
    </rPh>
    <rPh sb="10" eb="11">
      <t>ネン</t>
    </rPh>
    <phoneticPr fontId="2"/>
  </si>
  <si>
    <t>Y=苛性ソーダ使用値(24%、t/年)×原単位(苛性ソーダ、kg-CO2/kg)×0.24</t>
    <rPh sb="2" eb="4">
      <t>カセイ</t>
    </rPh>
    <rPh sb="7" eb="9">
      <t>シヨウ</t>
    </rPh>
    <rPh sb="9" eb="10">
      <t>アタイ</t>
    </rPh>
    <rPh sb="17" eb="18">
      <t>ネン</t>
    </rPh>
    <rPh sb="20" eb="23">
      <t>ゲンタンイ</t>
    </rPh>
    <phoneticPr fontId="2"/>
  </si>
  <si>
    <t>⑯</t>
    <phoneticPr fontId="2"/>
  </si>
  <si>
    <t>⑰：⑪+⑫+⑬+⑭+⑮+⑯</t>
    <phoneticPr fontId="2"/>
  </si>
  <si>
    <t>焼却・発電設備</t>
    <phoneticPr fontId="2"/>
  </si>
  <si>
    <r>
      <t>N</t>
    </r>
    <r>
      <rPr>
        <vertAlign val="subscript"/>
        <sz val="11"/>
        <color theme="1"/>
        <rFont val="游ゴシック"/>
        <family val="3"/>
        <charset val="128"/>
        <scheme val="minor"/>
      </rPr>
      <t>2</t>
    </r>
    <r>
      <rPr>
        <sz val="11"/>
        <color theme="1"/>
        <rFont val="游ゴシック"/>
        <family val="2"/>
        <charset val="128"/>
        <scheme val="minor"/>
      </rPr>
      <t>O由来GHG排出量(焼却設備含む)</t>
    </r>
    <rPh sb="3" eb="5">
      <t>ユライ</t>
    </rPh>
    <rPh sb="8" eb="11">
      <t>ハイシュツリョウ</t>
    </rPh>
    <phoneticPr fontId="2"/>
  </si>
  <si>
    <r>
      <t>N</t>
    </r>
    <r>
      <rPr>
        <vertAlign val="subscript"/>
        <sz val="11"/>
        <color theme="1"/>
        <rFont val="游ゴシック"/>
        <family val="3"/>
        <charset val="128"/>
        <scheme val="minor"/>
      </rPr>
      <t>2</t>
    </r>
    <r>
      <rPr>
        <sz val="11"/>
        <color theme="1"/>
        <rFont val="游ゴシック"/>
        <family val="2"/>
        <charset val="128"/>
        <scheme val="minor"/>
      </rPr>
      <t>O排出量　(t-N</t>
    </r>
    <r>
      <rPr>
        <vertAlign val="subscript"/>
        <sz val="11"/>
        <color theme="1"/>
        <rFont val="游ゴシック"/>
        <family val="3"/>
        <charset val="128"/>
        <scheme val="minor"/>
      </rPr>
      <t>2</t>
    </r>
    <r>
      <rPr>
        <sz val="11"/>
        <color theme="1"/>
        <rFont val="游ゴシック"/>
        <family val="2"/>
        <charset val="128"/>
        <scheme val="minor"/>
      </rPr>
      <t>O/年)</t>
    </r>
    <rPh sb="3" eb="6">
      <t>ハイシュツリョウ</t>
    </rPh>
    <rPh sb="14" eb="15">
      <t>ネン</t>
    </rPh>
    <phoneticPr fontId="2"/>
  </si>
  <si>
    <r>
      <t>Y=0.0001(t-N</t>
    </r>
    <r>
      <rPr>
        <vertAlign val="subscript"/>
        <sz val="11"/>
        <color theme="1"/>
        <rFont val="游ゴシック"/>
        <family val="3"/>
        <charset val="128"/>
        <scheme val="minor"/>
      </rPr>
      <t>2</t>
    </r>
    <r>
      <rPr>
        <sz val="11"/>
        <color theme="1"/>
        <rFont val="游ゴシック"/>
        <family val="2"/>
        <charset val="128"/>
        <scheme val="minor"/>
      </rPr>
      <t>O/wet-t)Xwb×稼働日数(日/年)×負荷率(%)</t>
    </r>
    <rPh sb="25" eb="27">
      <t>カドウ</t>
    </rPh>
    <rPh sb="27" eb="29">
      <t>ニッスウ</t>
    </rPh>
    <rPh sb="30" eb="31">
      <t>ヒ</t>
    </rPh>
    <rPh sb="32" eb="33">
      <t>ネン</t>
    </rPh>
    <rPh sb="35" eb="37">
      <t>フカ</t>
    </rPh>
    <rPh sb="37" eb="38">
      <t>リツ</t>
    </rPh>
    <phoneticPr fontId="2"/>
  </si>
  <si>
    <t>Xwb：脱水汚泥焼却量(wet-t/日)</t>
    <phoneticPr fontId="2"/>
  </si>
  <si>
    <t>⑳</t>
    <phoneticPr fontId="2"/>
  </si>
  <si>
    <t>㉑：⑰+⑱+⑲+⑳</t>
    <phoneticPr fontId="2"/>
  </si>
  <si>
    <t>Y=-発電電力(MWh/年)×原単位(電気、kg-CO2/kWh)</t>
    <rPh sb="3" eb="5">
      <t>ハツデン</t>
    </rPh>
    <phoneticPr fontId="2"/>
  </si>
  <si>
    <t>㉓：㉑+㉒</t>
    <phoneticPr fontId="2"/>
  </si>
  <si>
    <t>㉔：(1－㉓/⑩)×100</t>
    <phoneticPr fontId="2"/>
  </si>
  <si>
    <t>※ガイドラインでは3ケースの処理規模で試算した建設費とユーティリティー消費量を掲載するとともに、その値から求めた近似式を費用関数として設定しています。
　本ツールでは費用関数を利用して算出しているため、ガイドラインに掲載した値とは若干の差異が生じる場合があります。</t>
    <rPh sb="14" eb="16">
      <t>ショリ</t>
    </rPh>
    <rPh sb="16" eb="18">
      <t>キボ</t>
    </rPh>
    <rPh sb="19" eb="21">
      <t>シサン</t>
    </rPh>
    <rPh sb="23" eb="26">
      <t>ケンセツヒ</t>
    </rPh>
    <rPh sb="35" eb="38">
      <t>ショウヒリョウ</t>
    </rPh>
    <rPh sb="39" eb="41">
      <t>ケイサイ</t>
    </rPh>
    <rPh sb="50" eb="51">
      <t>アタイ</t>
    </rPh>
    <rPh sb="53" eb="54">
      <t>モト</t>
    </rPh>
    <rPh sb="56" eb="59">
      <t>キンジシキ</t>
    </rPh>
    <rPh sb="60" eb="62">
      <t>ヒヨウ</t>
    </rPh>
    <rPh sb="62" eb="64">
      <t>カンスウ</t>
    </rPh>
    <rPh sb="67" eb="69">
      <t>セッテイ</t>
    </rPh>
    <rPh sb="77" eb="78">
      <t>ホン</t>
    </rPh>
    <rPh sb="83" eb="85">
      <t>ヒヨウ</t>
    </rPh>
    <rPh sb="85" eb="87">
      <t>カンスウ</t>
    </rPh>
    <rPh sb="88" eb="90">
      <t>リヨウ</t>
    </rPh>
    <rPh sb="92" eb="94">
      <t>サンシュツ</t>
    </rPh>
    <rPh sb="108" eb="110">
      <t>ケイサイ</t>
    </rPh>
    <rPh sb="112" eb="113">
      <t>アタイ</t>
    </rPh>
    <rPh sb="115" eb="117">
      <t>ジャッカン</t>
    </rPh>
    <rPh sb="118" eb="120">
      <t>サイ</t>
    </rPh>
    <rPh sb="121" eb="122">
      <t>ショウ</t>
    </rPh>
    <rPh sb="124" eb="126">
      <t>バアイ</t>
    </rPh>
    <phoneticPr fontId="2"/>
  </si>
  <si>
    <t>固形燃料化技術の導入</t>
    <rPh sb="0" eb="4">
      <t>コケイネンリョウ</t>
    </rPh>
    <rPh sb="4" eb="5">
      <t>カ</t>
    </rPh>
    <rPh sb="5" eb="7">
      <t>ギジュツ</t>
    </rPh>
    <rPh sb="8" eb="10">
      <t>ドウニュウ</t>
    </rPh>
    <phoneticPr fontId="2"/>
  </si>
  <si>
    <t>固形燃料化設備の無い処理場</t>
    <rPh sb="0" eb="5">
      <t>コケイネンリョウカ</t>
    </rPh>
    <rPh sb="5" eb="7">
      <t>セツビ</t>
    </rPh>
    <rPh sb="8" eb="9">
      <t>ナ</t>
    </rPh>
    <rPh sb="10" eb="13">
      <t>ショリジョウ</t>
    </rPh>
    <phoneticPr fontId="2"/>
  </si>
  <si>
    <t>固形燃料化設備</t>
    <rPh sb="0" eb="2">
      <t>コケイ</t>
    </rPh>
    <rPh sb="2" eb="4">
      <t>ネンリョウ</t>
    </rPh>
    <rPh sb="4" eb="5">
      <t>カ</t>
    </rPh>
    <rPh sb="5" eb="7">
      <t>セツビ</t>
    </rPh>
    <phoneticPr fontId="2"/>
  </si>
  <si>
    <t>固形燃料化技術に関しては下記URLより、「下水汚泥のエネルギー化技術導入簡易検討ツール」をダウンロードし試算を行ってください。</t>
    <rPh sb="0" eb="2">
      <t>コケイ</t>
    </rPh>
    <rPh sb="2" eb="4">
      <t>ネンリョウ</t>
    </rPh>
    <rPh sb="4" eb="5">
      <t>カ</t>
    </rPh>
    <rPh sb="5" eb="7">
      <t>ギジュツ</t>
    </rPh>
    <rPh sb="8" eb="9">
      <t>カン</t>
    </rPh>
    <rPh sb="12" eb="14">
      <t>カキ</t>
    </rPh>
    <rPh sb="52" eb="54">
      <t>シサン</t>
    </rPh>
    <rPh sb="55" eb="56">
      <t>オコナ</t>
    </rPh>
    <phoneticPr fontId="2"/>
  </si>
  <si>
    <t>検討技術の詳細は「下水汚泥エネルギー化技術ガイドライン-改訂版-」を参照してください</t>
    <rPh sb="0" eb="2">
      <t>ケントウ</t>
    </rPh>
    <rPh sb="2" eb="4">
      <t>ギジュツ</t>
    </rPh>
    <rPh sb="5" eb="7">
      <t>ショウサイ</t>
    </rPh>
    <rPh sb="34" eb="36">
      <t>サンショウ</t>
    </rPh>
    <phoneticPr fontId="2"/>
  </si>
  <si>
    <t>試算ツールにて試算後、下記に削減量の入力をして下さい。</t>
    <rPh sb="0" eb="2">
      <t>シサン</t>
    </rPh>
    <rPh sb="7" eb="10">
      <t>シサンゴ</t>
    </rPh>
    <rPh sb="11" eb="13">
      <t>カキ</t>
    </rPh>
    <rPh sb="14" eb="17">
      <t>サクゲンリョウ</t>
    </rPh>
    <rPh sb="18" eb="20">
      <t>ニュウリョク</t>
    </rPh>
    <rPh sb="23" eb="24">
      <t>クダ</t>
    </rPh>
    <phoneticPr fontId="2"/>
  </si>
  <si>
    <t>No.1、No.2、No.3</t>
    <phoneticPr fontId="2"/>
  </si>
  <si>
    <t>検討技術の詳細は「 下水道バイオマスからの電力創造システム実証事業」を参照してください</t>
    <rPh sb="0" eb="2">
      <t>ケントウ</t>
    </rPh>
    <rPh sb="2" eb="4">
      <t>ギジュツ</t>
    </rPh>
    <rPh sb="5" eb="7">
      <t>ショウサイ</t>
    </rPh>
    <rPh sb="35" eb="37">
      <t>サンショウ</t>
    </rPh>
    <phoneticPr fontId="2"/>
  </si>
  <si>
    <t>以降の計算シートは「下水道バイオマスからの電力創造システム実証事業」における技術導入効果計算シートの転載になります。</t>
    <rPh sb="0" eb="2">
      <t>イコウ</t>
    </rPh>
    <rPh sb="3" eb="5">
      <t>ケイサン</t>
    </rPh>
    <rPh sb="38" eb="40">
      <t>ギジュツ</t>
    </rPh>
    <rPh sb="40" eb="42">
      <t>ドウニュウ</t>
    </rPh>
    <rPh sb="42" eb="44">
      <t>コウカ</t>
    </rPh>
    <rPh sb="44" eb="46">
      <t>ケイサン</t>
    </rPh>
    <rPh sb="50" eb="52">
      <t>テンサイ</t>
    </rPh>
    <phoneticPr fontId="2"/>
  </si>
  <si>
    <t>　費用を算出する場合非表示になっている27~91を再表示させて下さい</t>
    <rPh sb="1" eb="3">
      <t>ヒヨウ</t>
    </rPh>
    <rPh sb="4" eb="6">
      <t>サンシュツ</t>
    </rPh>
    <rPh sb="8" eb="10">
      <t>バアイ</t>
    </rPh>
    <rPh sb="10" eb="13">
      <t>ヒヒョウジ</t>
    </rPh>
    <rPh sb="25" eb="26">
      <t>サイ</t>
    </rPh>
    <rPh sb="26" eb="28">
      <t>ヒョウジ</t>
    </rPh>
    <rPh sb="31" eb="32">
      <t>クダ</t>
    </rPh>
    <phoneticPr fontId="2"/>
  </si>
  <si>
    <t>【B－DASH】下水道バイオマスからの電力創造システムの導入</t>
    <rPh sb="28" eb="30">
      <t>ドウニュウ</t>
    </rPh>
    <phoneticPr fontId="2"/>
  </si>
  <si>
    <t>【B－DASH】温室効果ガス削減を考慮した発電型汚泥焼却技術</t>
    <phoneticPr fontId="2"/>
  </si>
  <si>
    <t>設備規模(wet-t/日)</t>
    <rPh sb="0" eb="2">
      <t>セツビ</t>
    </rPh>
    <rPh sb="2" eb="4">
      <t>キボ</t>
    </rPh>
    <phoneticPr fontId="2"/>
  </si>
  <si>
    <t>投入汚泥量(wet-t/日)</t>
    <rPh sb="0" eb="2">
      <t>トウニュウ</t>
    </rPh>
    <rPh sb="2" eb="5">
      <t>オデイリョウ</t>
    </rPh>
    <phoneticPr fontId="2"/>
  </si>
  <si>
    <t>年間処理脱水汚泥量(wet-t/年)</t>
    <rPh sb="0" eb="2">
      <t>ネンカン</t>
    </rPh>
    <rPh sb="2" eb="4">
      <t>ショリ</t>
    </rPh>
    <rPh sb="4" eb="6">
      <t>ダッスイ</t>
    </rPh>
    <rPh sb="6" eb="9">
      <t>オデイリョウ</t>
    </rPh>
    <rPh sb="16" eb="17">
      <t>ネン</t>
    </rPh>
    <phoneticPr fontId="2"/>
  </si>
  <si>
    <t>低位発熱量(kJ/kg-DS)</t>
    <phoneticPr fontId="2"/>
  </si>
  <si>
    <t>エネルギー換算係数(自動入力)</t>
    <phoneticPr fontId="2"/>
  </si>
  <si>
    <r>
      <t>蒸発潜熱(kJ/kg-H</t>
    </r>
    <r>
      <rPr>
        <vertAlign val="subscript"/>
        <sz val="11"/>
        <color theme="1"/>
        <rFont val="游ゴシック"/>
        <family val="3"/>
        <charset val="128"/>
        <scheme val="minor"/>
      </rPr>
      <t>2</t>
    </r>
    <r>
      <rPr>
        <sz val="11"/>
        <color theme="1"/>
        <rFont val="游ゴシック"/>
        <family val="2"/>
        <charset val="128"/>
        <scheme val="minor"/>
      </rPr>
      <t>O)</t>
    </r>
    <phoneticPr fontId="2"/>
  </si>
  <si>
    <r>
      <t>補助燃料使用量(m</t>
    </r>
    <r>
      <rPr>
        <vertAlign val="superscript"/>
        <sz val="11"/>
        <rFont val="游ゴシック"/>
        <family val="3"/>
        <charset val="128"/>
        <scheme val="minor"/>
      </rPr>
      <t>3</t>
    </r>
    <r>
      <rPr>
        <sz val="11"/>
        <rFont val="游ゴシック"/>
        <family val="3"/>
        <charset val="128"/>
        <scheme val="minor"/>
      </rPr>
      <t>/h)</t>
    </r>
    <r>
      <rPr>
        <vertAlign val="superscript"/>
        <sz val="11"/>
        <rFont val="游ゴシック"/>
        <family val="3"/>
        <charset val="128"/>
        <scheme val="minor"/>
      </rPr>
      <t>※1</t>
    </r>
    <rPh sb="0" eb="2">
      <t>ホジョ</t>
    </rPh>
    <rPh sb="2" eb="4">
      <t>ネンリョウ</t>
    </rPh>
    <rPh sb="4" eb="7">
      <t>シヨウリョウ</t>
    </rPh>
    <phoneticPr fontId="2"/>
  </si>
  <si>
    <t>温室効果ガス(GHG)排出量原単位(自動入力)</t>
    <rPh sb="0" eb="2">
      <t>オンシツ</t>
    </rPh>
    <rPh sb="2" eb="4">
      <t>コウカ</t>
    </rPh>
    <rPh sb="11" eb="14">
      <t>ハイシュツリョウ</t>
    </rPh>
    <rPh sb="14" eb="17">
      <t>ゲンタンイ</t>
    </rPh>
    <rPh sb="18" eb="20">
      <t>ジドウ</t>
    </rPh>
    <rPh sb="20" eb="22">
      <t>ニュウリョク</t>
    </rPh>
    <phoneticPr fontId="2"/>
  </si>
  <si>
    <t>※1 補助燃料種類及び使用量は検討処理場の実績値とする。消化ガス(バイオマス系燃料)は試算対象外である。</t>
    <rPh sb="17" eb="20">
      <t>ショリジョウ</t>
    </rPh>
    <phoneticPr fontId="2"/>
  </si>
  <si>
    <t>総費用（年価換算値）※革新的技術（既設焼却炉1基に対してボイラ1基、タービン1基を追加設置する場合）</t>
    <rPh sb="0" eb="3">
      <t>ソウヒヨウ</t>
    </rPh>
    <rPh sb="4" eb="6">
      <t>ネンカ</t>
    </rPh>
    <rPh sb="6" eb="9">
      <t>カンサンチ</t>
    </rPh>
    <rPh sb="11" eb="14">
      <t>カクシンテキ</t>
    </rPh>
    <rPh sb="14" eb="16">
      <t>ギジュツ</t>
    </rPh>
    <rPh sb="17" eb="19">
      <t>キセツ</t>
    </rPh>
    <rPh sb="19" eb="22">
      <t>ショウキャクロ</t>
    </rPh>
    <rPh sb="23" eb="24">
      <t>キ</t>
    </rPh>
    <rPh sb="25" eb="26">
      <t>タイ</t>
    </rPh>
    <rPh sb="32" eb="33">
      <t>キ</t>
    </rPh>
    <rPh sb="39" eb="40">
      <t>キ</t>
    </rPh>
    <rPh sb="41" eb="43">
      <t>ツイカ</t>
    </rPh>
    <rPh sb="43" eb="45">
      <t>セッチ</t>
    </rPh>
    <rPh sb="47" eb="49">
      <t>バアイ</t>
    </rPh>
    <phoneticPr fontId="2"/>
  </si>
  <si>
    <t>土木建築建築費
(建屋：電気、ブロワー室程度)</t>
    <rPh sb="0" eb="2">
      <t>ドボク</t>
    </rPh>
    <rPh sb="2" eb="4">
      <t>ケンチク</t>
    </rPh>
    <rPh sb="4" eb="7">
      <t>ケンチクヒ</t>
    </rPh>
    <rPh sb="9" eb="11">
      <t>タテヤ</t>
    </rPh>
    <rPh sb="12" eb="14">
      <t>デンキ</t>
    </rPh>
    <rPh sb="19" eb="20">
      <t>シツ</t>
    </rPh>
    <rPh sb="20" eb="22">
      <t>テイド</t>
    </rPh>
    <phoneticPr fontId="2"/>
  </si>
  <si>
    <r>
      <t>Y=2.426Xd</t>
    </r>
    <r>
      <rPr>
        <vertAlign val="superscript"/>
        <sz val="11"/>
        <color theme="1"/>
        <rFont val="游ゴシック"/>
        <family val="3"/>
        <charset val="128"/>
        <scheme val="minor"/>
      </rPr>
      <t>0.0094</t>
    </r>
    <r>
      <rPr>
        <sz val="11"/>
        <color theme="1"/>
        <rFont val="游ゴシック"/>
        <family val="3"/>
        <charset val="128"/>
        <scheme val="minor"/>
      </rPr>
      <t>×100</t>
    </r>
    <phoneticPr fontId="2"/>
  </si>
  <si>
    <t>①、Xd：設備規模(wet-t/日)</t>
    <rPh sb="5" eb="7">
      <t>セツビ</t>
    </rPh>
    <rPh sb="7" eb="9">
      <t>キボ</t>
    </rPh>
    <rPh sb="16" eb="17">
      <t>ヒ</t>
    </rPh>
    <phoneticPr fontId="2"/>
  </si>
  <si>
    <r>
      <t>Y=1.888Xd</t>
    </r>
    <r>
      <rPr>
        <vertAlign val="superscript"/>
        <sz val="11"/>
        <color theme="1"/>
        <rFont val="游ゴシック"/>
        <family val="3"/>
        <charset val="128"/>
        <scheme val="minor"/>
      </rPr>
      <t>0.597</t>
    </r>
    <r>
      <rPr>
        <sz val="11"/>
        <color theme="1"/>
        <rFont val="游ゴシック"/>
        <family val="3"/>
        <charset val="128"/>
        <scheme val="minor"/>
      </rPr>
      <t>×100</t>
    </r>
    <phoneticPr fontId="2"/>
  </si>
  <si>
    <t>②</t>
    <phoneticPr fontId="2"/>
  </si>
  <si>
    <t>電気建設費</t>
    <rPh sb="0" eb="2">
      <t>デンキ</t>
    </rPh>
    <rPh sb="2" eb="5">
      <t>ケンセツヒ</t>
    </rPh>
    <phoneticPr fontId="2"/>
  </si>
  <si>
    <r>
      <t>Y=0.726Xd</t>
    </r>
    <r>
      <rPr>
        <vertAlign val="superscript"/>
        <sz val="11"/>
        <color theme="1"/>
        <rFont val="游ゴシック"/>
        <family val="3"/>
        <charset val="128"/>
        <scheme val="minor"/>
      </rPr>
      <t>0.539</t>
    </r>
    <r>
      <rPr>
        <sz val="11"/>
        <color theme="1"/>
        <rFont val="游ゴシック"/>
        <family val="3"/>
        <charset val="128"/>
        <scheme val="minor"/>
      </rPr>
      <t>×100</t>
    </r>
    <phoneticPr fontId="2"/>
  </si>
  <si>
    <t>④：①＋②＋③</t>
    <phoneticPr fontId="2"/>
  </si>
  <si>
    <t>⑤、i：利子率、n：耐用年数
※工種別に年価を算出し、合計する。</t>
    <rPh sb="4" eb="7">
      <t>リシリツ</t>
    </rPh>
    <rPh sb="10" eb="12">
      <t>タイヨウ</t>
    </rPh>
    <rPh sb="12" eb="14">
      <t>ネンスウ</t>
    </rPh>
    <rPh sb="23" eb="25">
      <t>サンシュツ</t>
    </rPh>
    <phoneticPr fontId="2"/>
  </si>
  <si>
    <r>
      <t>Y</t>
    </r>
    <r>
      <rPr>
        <sz val="11"/>
        <color theme="1"/>
        <rFont val="游ゴシック"/>
        <family val="2"/>
        <charset val="128"/>
        <scheme val="minor"/>
      </rPr>
      <t>=0.287Xy</t>
    </r>
    <r>
      <rPr>
        <vertAlign val="superscript"/>
        <sz val="11"/>
        <color theme="1"/>
        <rFont val="游ゴシック"/>
        <family val="3"/>
        <charset val="128"/>
        <scheme val="minor"/>
      </rPr>
      <t>0.673</t>
    </r>
    <phoneticPr fontId="2"/>
  </si>
  <si>
    <t xml:space="preserve">⑥、Xy：年間処理脱水汚泥量(wet-t/年) </t>
    <rPh sb="5" eb="7">
      <t>ネンカン</t>
    </rPh>
    <rPh sb="7" eb="9">
      <t>ショリ</t>
    </rPh>
    <rPh sb="9" eb="11">
      <t>ダッスイ</t>
    </rPh>
    <rPh sb="11" eb="14">
      <t>オデイリョウ</t>
    </rPh>
    <rPh sb="21" eb="22">
      <t>ネン</t>
    </rPh>
    <phoneticPr fontId="2"/>
  </si>
  <si>
    <t>a：⑤＋⑥</t>
    <phoneticPr fontId="2"/>
  </si>
  <si>
    <t>機械設備</t>
    <rPh sb="0" eb="2">
      <t>キカイ</t>
    </rPh>
    <rPh sb="2" eb="4">
      <t>セツビ</t>
    </rPh>
    <phoneticPr fontId="2"/>
  </si>
  <si>
    <t>発電、局所攪拌設備</t>
    <rPh sb="0" eb="2">
      <t>ハツデン</t>
    </rPh>
    <rPh sb="3" eb="5">
      <t>キョクショ</t>
    </rPh>
    <rPh sb="5" eb="7">
      <t>カクハン</t>
    </rPh>
    <rPh sb="7" eb="9">
      <t>セツビ</t>
    </rPh>
    <phoneticPr fontId="2"/>
  </si>
  <si>
    <t>土木設備</t>
    <rPh sb="0" eb="2">
      <t>ドボク</t>
    </rPh>
    <rPh sb="2" eb="4">
      <t>セツビ</t>
    </rPh>
    <phoneticPr fontId="2"/>
  </si>
  <si>
    <r>
      <t>Y</t>
    </r>
    <r>
      <rPr>
        <sz val="11"/>
        <color theme="1"/>
        <rFont val="游ゴシック"/>
        <family val="2"/>
        <charset val="128"/>
        <scheme val="minor"/>
      </rPr>
      <t>=0.134X+6.58</t>
    </r>
    <phoneticPr fontId="2"/>
  </si>
  <si>
    <t>⑦、X：汚泥投入量(wet-t/日)</t>
    <rPh sb="4" eb="6">
      <t>オデイ</t>
    </rPh>
    <rPh sb="6" eb="9">
      <t>トウニュウリョウ</t>
    </rPh>
    <rPh sb="16" eb="17">
      <t>ヒ</t>
    </rPh>
    <phoneticPr fontId="2"/>
  </si>
  <si>
    <r>
      <t>Y</t>
    </r>
    <r>
      <rPr>
        <sz val="11"/>
        <color theme="1"/>
        <rFont val="游ゴシック"/>
        <family val="2"/>
        <charset val="128"/>
        <scheme val="minor"/>
      </rPr>
      <t>=2.42X+340</t>
    </r>
    <phoneticPr fontId="2"/>
  </si>
  <si>
    <t>⑧、X：汚泥投入量(wet-t/日)</t>
    <rPh sb="4" eb="6">
      <t>オデイ</t>
    </rPh>
    <rPh sb="6" eb="9">
      <t>トウニュウリョウ</t>
    </rPh>
    <phoneticPr fontId="2"/>
  </si>
  <si>
    <t>局所攪拌空気吹込み設備</t>
    <rPh sb="0" eb="2">
      <t>キョクショ</t>
    </rPh>
    <rPh sb="2" eb="4">
      <t>カクハン</t>
    </rPh>
    <rPh sb="4" eb="6">
      <t>クウキ</t>
    </rPh>
    <rPh sb="6" eb="8">
      <t>フキコミ</t>
    </rPh>
    <rPh sb="9" eb="11">
      <t>セツビ</t>
    </rPh>
    <phoneticPr fontId="2"/>
  </si>
  <si>
    <r>
      <t>Y</t>
    </r>
    <r>
      <rPr>
        <sz val="11"/>
        <color theme="1"/>
        <rFont val="游ゴシック"/>
        <family val="2"/>
        <charset val="128"/>
        <scheme val="minor"/>
      </rPr>
      <t>=0.0142X+0.791</t>
    </r>
    <phoneticPr fontId="2"/>
  </si>
  <si>
    <t>⑨、X：汚泥投入量(wet-t/日)</t>
    <rPh sb="4" eb="6">
      <t>オデイ</t>
    </rPh>
    <rPh sb="6" eb="9">
      <t>トウニュウリョウ</t>
    </rPh>
    <phoneticPr fontId="2"/>
  </si>
  <si>
    <r>
      <t>Y</t>
    </r>
    <r>
      <rPr>
        <sz val="11"/>
        <color theme="1"/>
        <rFont val="游ゴシック"/>
        <family val="2"/>
        <charset val="128"/>
        <scheme val="minor"/>
      </rPr>
      <t>=0.311X+53.3</t>
    </r>
    <phoneticPr fontId="2"/>
  </si>
  <si>
    <t>⑩、X：汚泥投入量(wet-t/日)</t>
    <rPh sb="4" eb="6">
      <t>オデイ</t>
    </rPh>
    <rPh sb="6" eb="9">
      <t>トウニュウリョウ</t>
    </rPh>
    <phoneticPr fontId="2"/>
  </si>
  <si>
    <t>⑪：⑦＋⑧＋⑨＋⑩</t>
    <phoneticPr fontId="2"/>
  </si>
  <si>
    <t>⑫、i：利子率、n：耐用年数
※工種別に年価を算出し、合計する。</t>
    <rPh sb="23" eb="25">
      <t>サンシュツ</t>
    </rPh>
    <phoneticPr fontId="2"/>
  </si>
  <si>
    <t>消費電力量
(kWh)</t>
    <rPh sb="0" eb="2">
      <t>ショウヒ</t>
    </rPh>
    <rPh sb="2" eb="5">
      <t>デンリョクリョウ</t>
    </rPh>
    <phoneticPr fontId="2"/>
  </si>
  <si>
    <r>
      <t>Y</t>
    </r>
    <r>
      <rPr>
        <sz val="11"/>
        <color theme="1"/>
        <rFont val="游ゴシック"/>
        <family val="2"/>
        <charset val="128"/>
        <scheme val="minor"/>
      </rPr>
      <t>=0.119X+65.1</t>
    </r>
    <phoneticPr fontId="2"/>
  </si>
  <si>
    <t>X：設備規模(wet-t/日)</t>
    <phoneticPr fontId="2"/>
  </si>
  <si>
    <r>
      <t>Y=消費電力量(kWh)×稼働日数(日/年)×24(h/日)×単価(円/kWh)×10</t>
    </r>
    <r>
      <rPr>
        <vertAlign val="superscript"/>
        <sz val="11"/>
        <color theme="1"/>
        <rFont val="游ゴシック"/>
        <family val="3"/>
        <charset val="128"/>
        <scheme val="minor"/>
      </rPr>
      <t>-6</t>
    </r>
    <rPh sb="2" eb="4">
      <t>ショウヒ</t>
    </rPh>
    <rPh sb="4" eb="7">
      <t>デンリョクリョウ</t>
    </rPh>
    <rPh sb="13" eb="15">
      <t>カドウ</t>
    </rPh>
    <rPh sb="15" eb="17">
      <t>ニッスウ</t>
    </rPh>
    <rPh sb="18" eb="19">
      <t>ニチ</t>
    </rPh>
    <rPh sb="20" eb="21">
      <t>ネン</t>
    </rPh>
    <rPh sb="28" eb="29">
      <t>ヒ</t>
    </rPh>
    <rPh sb="31" eb="33">
      <t>タンカ</t>
    </rPh>
    <rPh sb="34" eb="35">
      <t>エン</t>
    </rPh>
    <phoneticPr fontId="2"/>
  </si>
  <si>
    <t>局所攪拌空気吹込み設備</t>
    <rPh sb="0" eb="2">
      <t>キョクショ</t>
    </rPh>
    <rPh sb="2" eb="4">
      <t>カクハン</t>
    </rPh>
    <rPh sb="4" eb="6">
      <t>クウキ</t>
    </rPh>
    <rPh sb="6" eb="8">
      <t>フキコ</t>
    </rPh>
    <rPh sb="9" eb="11">
      <t>セツビ</t>
    </rPh>
    <phoneticPr fontId="2"/>
  </si>
  <si>
    <t>投入熱量
(GJ/h)</t>
    <rPh sb="0" eb="2">
      <t>トウニュウ</t>
    </rPh>
    <rPh sb="2" eb="4">
      <t>ネツリョウ</t>
    </rPh>
    <phoneticPr fontId="2"/>
  </si>
  <si>
    <r>
      <t>Y=｛汚泥投入量(wet-t/日)×10</t>
    </r>
    <r>
      <rPr>
        <vertAlign val="superscript"/>
        <sz val="10"/>
        <rFont val="游ゴシック"/>
        <family val="3"/>
        <charset val="128"/>
        <scheme val="minor"/>
      </rPr>
      <t>3</t>
    </r>
    <r>
      <rPr>
        <sz val="10"/>
        <rFont val="游ゴシック"/>
        <family val="3"/>
        <charset val="128"/>
        <scheme val="minor"/>
      </rPr>
      <t>×1/24(日/h)×(1-含水率)×低位発熱量(kJ/kg-DS)－蒸発潜熱(kJ/kg-H</t>
    </r>
    <r>
      <rPr>
        <vertAlign val="subscript"/>
        <sz val="10"/>
        <rFont val="游ゴシック"/>
        <family val="3"/>
        <charset val="128"/>
        <scheme val="minor"/>
      </rPr>
      <t>2</t>
    </r>
    <r>
      <rPr>
        <sz val="10"/>
        <rFont val="游ゴシック"/>
        <family val="3"/>
        <charset val="128"/>
        <scheme val="minor"/>
      </rPr>
      <t>O)×(wet-t/日)×10</t>
    </r>
    <r>
      <rPr>
        <vertAlign val="superscript"/>
        <sz val="10"/>
        <rFont val="游ゴシック"/>
        <family val="3"/>
        <charset val="128"/>
        <scheme val="minor"/>
      </rPr>
      <t>3</t>
    </r>
    <r>
      <rPr>
        <sz val="10"/>
        <rFont val="游ゴシック"/>
        <family val="3"/>
        <charset val="128"/>
        <scheme val="minor"/>
      </rPr>
      <t>×1/24(日/h)×含水率}×10</t>
    </r>
    <r>
      <rPr>
        <vertAlign val="superscript"/>
        <sz val="10"/>
        <rFont val="游ゴシック"/>
        <family val="3"/>
        <charset val="128"/>
        <scheme val="minor"/>
      </rPr>
      <t>-6</t>
    </r>
    <r>
      <rPr>
        <sz val="10"/>
        <rFont val="游ゴシック"/>
        <family val="3"/>
        <charset val="128"/>
        <scheme val="minor"/>
      </rPr>
      <t>+{補助燃料使用量(Nm</t>
    </r>
    <r>
      <rPr>
        <vertAlign val="superscript"/>
        <sz val="10"/>
        <rFont val="游ゴシック"/>
        <family val="3"/>
        <charset val="128"/>
        <scheme val="minor"/>
      </rPr>
      <t>3</t>
    </r>
    <r>
      <rPr>
        <sz val="10"/>
        <rFont val="游ゴシック"/>
        <family val="3"/>
        <charset val="128"/>
        <scheme val="minor"/>
      </rPr>
      <t>/h)×補助燃料エネルギー換算係数(MJ/h)×10</t>
    </r>
    <r>
      <rPr>
        <vertAlign val="superscript"/>
        <sz val="10"/>
        <rFont val="游ゴシック"/>
        <family val="3"/>
        <charset val="128"/>
        <scheme val="minor"/>
      </rPr>
      <t>-3</t>
    </r>
    <rPh sb="3" eb="5">
      <t>オデイ</t>
    </rPh>
    <rPh sb="5" eb="8">
      <t>トウニュウリョウ</t>
    </rPh>
    <rPh sb="15" eb="16">
      <t>ヒ</t>
    </rPh>
    <rPh sb="27" eb="28">
      <t>ヒ</t>
    </rPh>
    <rPh sb="35" eb="38">
      <t>ガンスイリツ</t>
    </rPh>
    <rPh sb="40" eb="42">
      <t>テイイ</t>
    </rPh>
    <rPh sb="42" eb="45">
      <t>ハツネツリョウ</t>
    </rPh>
    <rPh sb="56" eb="58">
      <t>ジョウハツ</t>
    </rPh>
    <rPh sb="58" eb="60">
      <t>センネツ</t>
    </rPh>
    <rPh sb="96" eb="99">
      <t>ガンスイリツ</t>
    </rPh>
    <phoneticPr fontId="2"/>
  </si>
  <si>
    <t>炉への投入熱量のため、
汚泥発熱量+補助燃料発熱量で算出</t>
    <phoneticPr fontId="2"/>
  </si>
  <si>
    <t>発電電力
(kW)</t>
    <rPh sb="0" eb="2">
      <t>ハツデン</t>
    </rPh>
    <rPh sb="2" eb="4">
      <t>デンリョク</t>
    </rPh>
    <phoneticPr fontId="2"/>
  </si>
  <si>
    <t>Y=33.1×投入熱量(GJ/h)-102</t>
    <rPh sb="7" eb="9">
      <t>トウニュウ</t>
    </rPh>
    <rPh sb="9" eb="11">
      <t>ネツリョウ</t>
    </rPh>
    <phoneticPr fontId="2"/>
  </si>
  <si>
    <t>発電電力量
(千kWh/年)</t>
    <rPh sb="0" eb="2">
      <t>ハツデン</t>
    </rPh>
    <rPh sb="2" eb="5">
      <t>デンリョクリョウ</t>
    </rPh>
    <rPh sb="7" eb="8">
      <t>セン</t>
    </rPh>
    <rPh sb="12" eb="13">
      <t>ネン</t>
    </rPh>
    <phoneticPr fontId="2"/>
  </si>
  <si>
    <r>
      <t>Y=発電電力(kW)×稼働日数(日/年)×24(h/日)×10</t>
    </r>
    <r>
      <rPr>
        <vertAlign val="superscript"/>
        <sz val="11"/>
        <color theme="1"/>
        <rFont val="游ゴシック"/>
        <family val="3"/>
        <charset val="128"/>
        <scheme val="minor"/>
      </rPr>
      <t>-3</t>
    </r>
    <rPh sb="2" eb="4">
      <t>ハツデン</t>
    </rPh>
    <rPh sb="4" eb="6">
      <t>デンリョク</t>
    </rPh>
    <rPh sb="11" eb="13">
      <t>カドウ</t>
    </rPh>
    <rPh sb="13" eb="15">
      <t>ニッスウ</t>
    </rPh>
    <rPh sb="16" eb="17">
      <t>ニチ</t>
    </rPh>
    <rPh sb="18" eb="19">
      <t>ネン</t>
    </rPh>
    <rPh sb="26" eb="27">
      <t>ヒ</t>
    </rPh>
    <phoneticPr fontId="2"/>
  </si>
  <si>
    <r>
      <t>※</t>
    </r>
    <r>
      <rPr>
        <sz val="11"/>
        <rFont val="游ゴシック"/>
        <family val="3"/>
        <charset val="128"/>
        <scheme val="minor"/>
      </rPr>
      <t>発電電力量（A）</t>
    </r>
    <rPh sb="1" eb="3">
      <t>ハツデン</t>
    </rPh>
    <rPh sb="3" eb="5">
      <t>デンリョク</t>
    </rPh>
    <rPh sb="5" eb="6">
      <t>リョウ</t>
    </rPh>
    <phoneticPr fontId="2"/>
  </si>
  <si>
    <r>
      <t>Y=発電電力量(千kWh/年)×単価(円/kWh)×10</t>
    </r>
    <r>
      <rPr>
        <vertAlign val="superscript"/>
        <sz val="11"/>
        <color theme="1"/>
        <rFont val="游ゴシック"/>
        <family val="3"/>
        <charset val="128"/>
        <scheme val="minor"/>
      </rPr>
      <t>-3</t>
    </r>
    <rPh sb="2" eb="4">
      <t>ハツデン</t>
    </rPh>
    <rPh sb="4" eb="7">
      <t>デンリョクリョウ</t>
    </rPh>
    <rPh sb="8" eb="9">
      <t>セン</t>
    </rPh>
    <rPh sb="13" eb="14">
      <t>ネン</t>
    </rPh>
    <rPh sb="16" eb="18">
      <t>タンカ</t>
    </rPh>
    <rPh sb="19" eb="20">
      <t>エン</t>
    </rPh>
    <phoneticPr fontId="2"/>
  </si>
  <si>
    <t>単価(円/kWh)</t>
    <rPh sb="0" eb="2">
      <t>タンカ</t>
    </rPh>
    <rPh sb="3" eb="4">
      <t>エン</t>
    </rPh>
    <phoneticPr fontId="2"/>
  </si>
  <si>
    <r>
      <t>薬品使用量
(m</t>
    </r>
    <r>
      <rPr>
        <vertAlign val="superscript"/>
        <sz val="11"/>
        <color theme="1"/>
        <rFont val="游ゴシック"/>
        <family val="3"/>
        <charset val="128"/>
        <scheme val="minor"/>
      </rPr>
      <t>3</t>
    </r>
    <r>
      <rPr>
        <sz val="11"/>
        <color theme="1"/>
        <rFont val="游ゴシック"/>
        <family val="2"/>
        <charset val="128"/>
        <scheme val="minor"/>
      </rPr>
      <t>/h)</t>
    </r>
    <rPh sb="0" eb="2">
      <t>ヤクヒン</t>
    </rPh>
    <rPh sb="2" eb="5">
      <t>シヨウリョウ</t>
    </rPh>
    <phoneticPr fontId="2"/>
  </si>
  <si>
    <t>Y=0.0150X+0.737</t>
    <phoneticPr fontId="2"/>
  </si>
  <si>
    <r>
      <t>Y=薬品使用量(m</t>
    </r>
    <r>
      <rPr>
        <vertAlign val="superscript"/>
        <sz val="11"/>
        <color theme="1"/>
        <rFont val="游ゴシック"/>
        <family val="3"/>
        <charset val="128"/>
        <scheme val="minor"/>
      </rPr>
      <t>3</t>
    </r>
    <r>
      <rPr>
        <sz val="11"/>
        <color theme="1"/>
        <rFont val="游ゴシック"/>
        <family val="2"/>
        <charset val="128"/>
        <scheme val="minor"/>
      </rPr>
      <t>/h)×単価(円/m</t>
    </r>
    <r>
      <rPr>
        <vertAlign val="superscript"/>
        <sz val="11"/>
        <color theme="1"/>
        <rFont val="游ゴシック"/>
        <family val="3"/>
        <charset val="128"/>
        <scheme val="minor"/>
      </rPr>
      <t>3</t>
    </r>
    <r>
      <rPr>
        <sz val="11"/>
        <color theme="1"/>
        <rFont val="游ゴシック"/>
        <family val="3"/>
        <charset val="128"/>
        <scheme val="minor"/>
      </rPr>
      <t>)</t>
    </r>
    <r>
      <rPr>
        <sz val="11"/>
        <color theme="1"/>
        <rFont val="游ゴシック"/>
        <family val="2"/>
        <charset val="128"/>
        <scheme val="minor"/>
      </rPr>
      <t>×稼働日数(日/年)×24(h/日)×10</t>
    </r>
    <r>
      <rPr>
        <vertAlign val="superscript"/>
        <sz val="11"/>
        <color theme="1"/>
        <rFont val="游ゴシック"/>
        <family val="3"/>
        <charset val="128"/>
        <scheme val="minor"/>
      </rPr>
      <t>-6</t>
    </r>
    <rPh sb="2" eb="4">
      <t>ヤクヒン</t>
    </rPh>
    <rPh sb="4" eb="7">
      <t>シヨウリョウ</t>
    </rPh>
    <rPh sb="14" eb="16">
      <t>タンカ</t>
    </rPh>
    <rPh sb="17" eb="18">
      <t>エン</t>
    </rPh>
    <rPh sb="23" eb="25">
      <t>カドウ</t>
    </rPh>
    <rPh sb="25" eb="27">
      <t>ニッスウ</t>
    </rPh>
    <rPh sb="28" eb="29">
      <t>ニチ</t>
    </rPh>
    <rPh sb="30" eb="31">
      <t>ネン</t>
    </rPh>
    <rPh sb="38" eb="39">
      <t>ヒ</t>
    </rPh>
    <phoneticPr fontId="2"/>
  </si>
  <si>
    <r>
      <t>単価</t>
    </r>
    <r>
      <rPr>
        <sz val="11"/>
        <color theme="1"/>
        <rFont val="游ゴシック"/>
        <family val="3"/>
        <charset val="128"/>
        <scheme val="minor"/>
      </rPr>
      <t>(</t>
    </r>
    <r>
      <rPr>
        <sz val="11"/>
        <color theme="1"/>
        <rFont val="游ゴシック"/>
        <family val="2"/>
        <charset val="128"/>
        <scheme val="minor"/>
      </rPr>
      <t>円/m</t>
    </r>
    <r>
      <rPr>
        <vertAlign val="superscript"/>
        <sz val="11"/>
        <color theme="1"/>
        <rFont val="游ゴシック"/>
        <family val="3"/>
        <charset val="128"/>
        <scheme val="minor"/>
      </rPr>
      <t>3</t>
    </r>
    <r>
      <rPr>
        <sz val="11"/>
        <color theme="1"/>
        <rFont val="游ゴシック"/>
        <family val="3"/>
        <charset val="128"/>
        <scheme val="minor"/>
      </rPr>
      <t>)</t>
    </r>
    <phoneticPr fontId="2"/>
  </si>
  <si>
    <t>維持管理費(上水費)</t>
    <rPh sb="0" eb="2">
      <t>イジ</t>
    </rPh>
    <rPh sb="2" eb="5">
      <t>カンリヒ</t>
    </rPh>
    <rPh sb="6" eb="8">
      <t>ジョウスイ</t>
    </rPh>
    <rPh sb="8" eb="9">
      <t>ヒ</t>
    </rPh>
    <phoneticPr fontId="2"/>
  </si>
  <si>
    <r>
      <t>上水使用量
(m</t>
    </r>
    <r>
      <rPr>
        <vertAlign val="superscript"/>
        <sz val="11"/>
        <color theme="1"/>
        <rFont val="游ゴシック"/>
        <family val="3"/>
        <charset val="128"/>
        <scheme val="minor"/>
      </rPr>
      <t>3</t>
    </r>
    <r>
      <rPr>
        <sz val="11"/>
        <color theme="1"/>
        <rFont val="游ゴシック"/>
        <family val="2"/>
        <charset val="128"/>
        <scheme val="minor"/>
      </rPr>
      <t>/日)</t>
    </r>
    <rPh sb="0" eb="2">
      <t>ジョウスイ</t>
    </rPh>
    <rPh sb="2" eb="5">
      <t>シヨウリョウ</t>
    </rPh>
    <rPh sb="10" eb="11">
      <t>ヒ</t>
    </rPh>
    <phoneticPr fontId="2"/>
  </si>
  <si>
    <t>Y=0.0274X+1.35</t>
    <phoneticPr fontId="2"/>
  </si>
  <si>
    <r>
      <t>Y=上水使用量(m</t>
    </r>
    <r>
      <rPr>
        <vertAlign val="superscript"/>
        <sz val="11"/>
        <color theme="1"/>
        <rFont val="游ゴシック"/>
        <family val="3"/>
        <charset val="128"/>
        <scheme val="minor"/>
      </rPr>
      <t>3</t>
    </r>
    <r>
      <rPr>
        <sz val="11"/>
        <color theme="1"/>
        <rFont val="游ゴシック"/>
        <family val="2"/>
        <charset val="128"/>
        <scheme val="minor"/>
      </rPr>
      <t>/日)×単価(円/m</t>
    </r>
    <r>
      <rPr>
        <vertAlign val="superscript"/>
        <sz val="11"/>
        <color theme="1"/>
        <rFont val="游ゴシック"/>
        <family val="3"/>
        <charset val="128"/>
        <scheme val="minor"/>
      </rPr>
      <t>3</t>
    </r>
    <r>
      <rPr>
        <sz val="11"/>
        <color theme="1"/>
        <rFont val="游ゴシック"/>
        <family val="2"/>
        <charset val="128"/>
        <scheme val="minor"/>
      </rPr>
      <t>)×稼働日数(日/年)×10</t>
    </r>
    <r>
      <rPr>
        <vertAlign val="superscript"/>
        <sz val="11"/>
        <color theme="1"/>
        <rFont val="游ゴシック"/>
        <family val="3"/>
        <charset val="128"/>
        <scheme val="minor"/>
      </rPr>
      <t>-6</t>
    </r>
    <rPh sb="2" eb="4">
      <t>ジョウスイ</t>
    </rPh>
    <rPh sb="4" eb="7">
      <t>シヨウリョウ</t>
    </rPh>
    <rPh sb="11" eb="12">
      <t>ヒ</t>
    </rPh>
    <rPh sb="14" eb="16">
      <t>タンカ</t>
    </rPh>
    <rPh sb="17" eb="18">
      <t>エン</t>
    </rPh>
    <rPh sb="23" eb="25">
      <t>カドウ</t>
    </rPh>
    <rPh sb="25" eb="27">
      <t>ニッスウ</t>
    </rPh>
    <rPh sb="28" eb="29">
      <t>ニチ</t>
    </rPh>
    <rPh sb="30" eb="31">
      <t>ネン</t>
    </rPh>
    <phoneticPr fontId="2"/>
  </si>
  <si>
    <r>
      <t>単価(円/m</t>
    </r>
    <r>
      <rPr>
        <vertAlign val="superscript"/>
        <sz val="11"/>
        <color theme="1"/>
        <rFont val="游ゴシック"/>
        <family val="3"/>
        <charset val="128"/>
        <scheme val="minor"/>
      </rPr>
      <t>3</t>
    </r>
    <r>
      <rPr>
        <sz val="11"/>
        <color theme="1"/>
        <rFont val="游ゴシック"/>
        <family val="2"/>
        <charset val="128"/>
        <scheme val="minor"/>
      </rPr>
      <t>)</t>
    </r>
    <phoneticPr fontId="2"/>
  </si>
  <si>
    <t>⑰</t>
    <phoneticPr fontId="2"/>
  </si>
  <si>
    <t>⑱：⑬＋⑭＋⑮＋⑯＋⑰</t>
    <phoneticPr fontId="2"/>
  </si>
  <si>
    <t>その他導入効果(白防設備停止)
(点検整備費用)</t>
    <rPh sb="2" eb="3">
      <t>タ</t>
    </rPh>
    <rPh sb="3" eb="5">
      <t>ドウニュウ</t>
    </rPh>
    <rPh sb="5" eb="7">
      <t>コウカ</t>
    </rPh>
    <rPh sb="8" eb="9">
      <t>ハク</t>
    </rPh>
    <rPh sb="9" eb="10">
      <t>ボウ</t>
    </rPh>
    <rPh sb="10" eb="12">
      <t>セツビ</t>
    </rPh>
    <rPh sb="12" eb="14">
      <t>テイシ</t>
    </rPh>
    <rPh sb="17" eb="19">
      <t>テンケン</t>
    </rPh>
    <rPh sb="19" eb="21">
      <t>セイビ</t>
    </rPh>
    <rPh sb="21" eb="23">
      <t>ヒヨウ</t>
    </rPh>
    <phoneticPr fontId="2"/>
  </si>
  <si>
    <r>
      <t>Y=0.131X</t>
    </r>
    <r>
      <rPr>
        <vertAlign val="superscript"/>
        <sz val="11"/>
        <color theme="1"/>
        <rFont val="游ゴシック"/>
        <family val="3"/>
        <charset val="128"/>
        <scheme val="minor"/>
      </rPr>
      <t>0.7</t>
    </r>
    <phoneticPr fontId="2"/>
  </si>
  <si>
    <t>⑲、X：汚泥投入量(wet-t/日)</t>
    <rPh sb="4" eb="6">
      <t>オデイ</t>
    </rPh>
    <rPh sb="6" eb="9">
      <t>トウニュウリョウ</t>
    </rPh>
    <phoneticPr fontId="2"/>
  </si>
  <si>
    <t>その他導入効果(白防設備停止)
(更新費用)</t>
    <rPh sb="2" eb="3">
      <t>タ</t>
    </rPh>
    <rPh sb="3" eb="5">
      <t>ドウニュウ</t>
    </rPh>
    <rPh sb="5" eb="7">
      <t>コウカ</t>
    </rPh>
    <rPh sb="8" eb="9">
      <t>ハク</t>
    </rPh>
    <rPh sb="9" eb="10">
      <t>ボウ</t>
    </rPh>
    <rPh sb="10" eb="12">
      <t>セツビ</t>
    </rPh>
    <rPh sb="12" eb="14">
      <t>テイシ</t>
    </rPh>
    <rPh sb="17" eb="19">
      <t>コウシン</t>
    </rPh>
    <rPh sb="19" eb="21">
      <t>ヒヨウ</t>
    </rPh>
    <phoneticPr fontId="2"/>
  </si>
  <si>
    <r>
      <t>Y=0.998X</t>
    </r>
    <r>
      <rPr>
        <vertAlign val="superscript"/>
        <sz val="11"/>
        <color theme="1"/>
        <rFont val="游ゴシック"/>
        <family val="3"/>
        <charset val="128"/>
        <scheme val="minor"/>
      </rPr>
      <t>0.7</t>
    </r>
    <phoneticPr fontId="2"/>
  </si>
  <si>
    <t>⑳、X：汚泥投入量(wet-t/日)</t>
    <rPh sb="4" eb="6">
      <t>オデイ</t>
    </rPh>
    <rPh sb="6" eb="9">
      <t>トウニュウリョウ</t>
    </rPh>
    <phoneticPr fontId="2"/>
  </si>
  <si>
    <t>その他導入効果(白防設備停止)
(消費電力)</t>
    <rPh sb="2" eb="3">
      <t>タ</t>
    </rPh>
    <rPh sb="3" eb="5">
      <t>ドウニュウ</t>
    </rPh>
    <rPh sb="5" eb="7">
      <t>コウカ</t>
    </rPh>
    <rPh sb="8" eb="9">
      <t>ハク</t>
    </rPh>
    <rPh sb="9" eb="10">
      <t>ボウ</t>
    </rPh>
    <rPh sb="10" eb="12">
      <t>セツビ</t>
    </rPh>
    <rPh sb="12" eb="14">
      <t>テイシ</t>
    </rPh>
    <rPh sb="17" eb="19">
      <t>ショウヒ</t>
    </rPh>
    <rPh sb="19" eb="21">
      <t>デンリョク</t>
    </rPh>
    <phoneticPr fontId="2"/>
  </si>
  <si>
    <t>消費電力量
(kWh/年)</t>
    <rPh sb="0" eb="2">
      <t>ショウヒ</t>
    </rPh>
    <rPh sb="2" eb="5">
      <t>デンリョクリョウ</t>
    </rPh>
    <rPh sb="11" eb="12">
      <t>ネン</t>
    </rPh>
    <phoneticPr fontId="2"/>
  </si>
  <si>
    <t>Y＝(0.213X+10.5)×稼働日数(日/年)×24(h/日)</t>
    <rPh sb="16" eb="18">
      <t>カドウ</t>
    </rPh>
    <rPh sb="18" eb="20">
      <t>ニッスウ</t>
    </rPh>
    <rPh sb="21" eb="22">
      <t>ニチ</t>
    </rPh>
    <rPh sb="23" eb="24">
      <t>ネン</t>
    </rPh>
    <rPh sb="31" eb="32">
      <t>ヒ</t>
    </rPh>
    <phoneticPr fontId="2"/>
  </si>
  <si>
    <t>X：汚泥投入量(wet-t/日)</t>
    <rPh sb="2" eb="4">
      <t>オデイ</t>
    </rPh>
    <rPh sb="4" eb="7">
      <t>トウニュウリョウ</t>
    </rPh>
    <phoneticPr fontId="2"/>
  </si>
  <si>
    <t>稼働日数(日/年)</t>
    <rPh sb="0" eb="2">
      <t>カドウ</t>
    </rPh>
    <rPh sb="2" eb="4">
      <t>ニッスウ</t>
    </rPh>
    <rPh sb="5" eb="6">
      <t>ニチ</t>
    </rPh>
    <rPh sb="7" eb="8">
      <t>ネン</t>
    </rPh>
    <phoneticPr fontId="2"/>
  </si>
  <si>
    <r>
      <t>Y=消費電力量(kWh/年)×単価(円/kWh)×10</t>
    </r>
    <r>
      <rPr>
        <vertAlign val="superscript"/>
        <sz val="11"/>
        <color theme="1"/>
        <rFont val="游ゴシック"/>
        <family val="3"/>
        <charset val="128"/>
        <scheme val="minor"/>
      </rPr>
      <t>-6</t>
    </r>
    <rPh sb="2" eb="4">
      <t>ショウヒ</t>
    </rPh>
    <rPh sb="4" eb="7">
      <t>デンリョクリョウ</t>
    </rPh>
    <rPh sb="12" eb="13">
      <t>ネン</t>
    </rPh>
    <rPh sb="15" eb="17">
      <t>タンカ</t>
    </rPh>
    <rPh sb="18" eb="19">
      <t>エン</t>
    </rPh>
    <phoneticPr fontId="2"/>
  </si>
  <si>
    <t>その他導入効果合計</t>
    <rPh sb="2" eb="3">
      <t>タ</t>
    </rPh>
    <rPh sb="3" eb="5">
      <t>ドウニュウ</t>
    </rPh>
    <rPh sb="5" eb="7">
      <t>コウカ</t>
    </rPh>
    <rPh sb="7" eb="9">
      <t>ゴウケイ</t>
    </rPh>
    <phoneticPr fontId="2"/>
  </si>
  <si>
    <t>㉒：⑲＋⑳＋㉑</t>
    <phoneticPr fontId="2"/>
  </si>
  <si>
    <t>革新的技術建設費年価(焼却設備(従来技術)含む)</t>
    <rPh sb="0" eb="3">
      <t>カクシンテキ</t>
    </rPh>
    <rPh sb="3" eb="5">
      <t>ギジュツ</t>
    </rPh>
    <rPh sb="5" eb="8">
      <t>ケンセツヒ</t>
    </rPh>
    <rPh sb="8" eb="10">
      <t>ネンカ</t>
    </rPh>
    <rPh sb="11" eb="13">
      <t>ショウキャク</t>
    </rPh>
    <rPh sb="13" eb="15">
      <t>セツビ</t>
    </rPh>
    <rPh sb="16" eb="18">
      <t>ジュウライ</t>
    </rPh>
    <rPh sb="18" eb="20">
      <t>ギジュツ</t>
    </rPh>
    <rPh sb="21" eb="22">
      <t>フク</t>
    </rPh>
    <phoneticPr fontId="2"/>
  </si>
  <si>
    <t>㉓：⑤＋⑫</t>
    <phoneticPr fontId="2"/>
  </si>
  <si>
    <t>革新的技術維持管理費(焼却設備(従来技術)含む)</t>
    <rPh sb="0" eb="3">
      <t>カクシンテキ</t>
    </rPh>
    <rPh sb="3" eb="5">
      <t>ギジュツ</t>
    </rPh>
    <rPh sb="5" eb="7">
      <t>イジ</t>
    </rPh>
    <rPh sb="7" eb="10">
      <t>カンリヒ</t>
    </rPh>
    <rPh sb="11" eb="13">
      <t>ショウキャク</t>
    </rPh>
    <rPh sb="13" eb="15">
      <t>セツビ</t>
    </rPh>
    <rPh sb="16" eb="18">
      <t>ジュウライ</t>
    </rPh>
    <rPh sb="18" eb="20">
      <t>ギジュツ</t>
    </rPh>
    <rPh sb="21" eb="22">
      <t>フク</t>
    </rPh>
    <phoneticPr fontId="2"/>
  </si>
  <si>
    <t>㉔：⑥＋⑱＋㉒</t>
    <phoneticPr fontId="2"/>
  </si>
  <si>
    <t>総費用(年価換算値)(焼却設備(従来技術)含む)</t>
    <rPh sb="0" eb="3">
      <t>ソウヒヨウ</t>
    </rPh>
    <rPh sb="4" eb="5">
      <t>トシ</t>
    </rPh>
    <rPh sb="5" eb="6">
      <t>アタイ</t>
    </rPh>
    <rPh sb="6" eb="8">
      <t>カンサン</t>
    </rPh>
    <rPh sb="8" eb="9">
      <t>アタイ</t>
    </rPh>
    <phoneticPr fontId="2"/>
  </si>
  <si>
    <t>b：㉓＋㉔</t>
    <phoneticPr fontId="2"/>
  </si>
  <si>
    <t>費用回収年</t>
    <rPh sb="0" eb="2">
      <t>ヒヨウ</t>
    </rPh>
    <rPh sb="2" eb="4">
      <t>カイシュウ</t>
    </rPh>
    <rPh sb="4" eb="5">
      <t>ネン</t>
    </rPh>
    <phoneticPr fontId="2"/>
  </si>
  <si>
    <t>建設費</t>
    <rPh sb="0" eb="3">
      <t>ケンセツヒ</t>
    </rPh>
    <phoneticPr fontId="2"/>
  </si>
  <si>
    <t>百万円</t>
    <rPh sb="0" eb="1">
      <t>ヒャク</t>
    </rPh>
    <rPh sb="1" eb="3">
      <t>マンエン</t>
    </rPh>
    <phoneticPr fontId="2"/>
  </si>
  <si>
    <t>a：⑪</t>
    <phoneticPr fontId="2"/>
  </si>
  <si>
    <t>革新的技術の維持管理費</t>
    <rPh sb="0" eb="2">
      <t>カクシン</t>
    </rPh>
    <rPh sb="2" eb="3">
      <t>テキ</t>
    </rPh>
    <rPh sb="3" eb="5">
      <t>ギジュツ</t>
    </rPh>
    <rPh sb="6" eb="8">
      <t>イジ</t>
    </rPh>
    <rPh sb="8" eb="11">
      <t>カンリヒ</t>
    </rPh>
    <phoneticPr fontId="2"/>
  </si>
  <si>
    <t>百万円/年</t>
    <rPh sb="0" eb="1">
      <t>ヒャク</t>
    </rPh>
    <rPh sb="1" eb="3">
      <t>マンエン</t>
    </rPh>
    <rPh sb="4" eb="5">
      <t>ネン</t>
    </rPh>
    <phoneticPr fontId="2"/>
  </si>
  <si>
    <t>b：⑮＋⑯＋⑰</t>
    <phoneticPr fontId="2"/>
  </si>
  <si>
    <t>導入効果</t>
    <rPh sb="0" eb="2">
      <t>ドウニュウ</t>
    </rPh>
    <rPh sb="2" eb="4">
      <t>コウカ</t>
    </rPh>
    <phoneticPr fontId="2"/>
  </si>
  <si>
    <t>電力費削減、その他効果</t>
    <rPh sb="0" eb="2">
      <t>デンリョク</t>
    </rPh>
    <rPh sb="2" eb="3">
      <t>ヒ</t>
    </rPh>
    <rPh sb="3" eb="5">
      <t>サクゲン</t>
    </rPh>
    <rPh sb="8" eb="9">
      <t>タ</t>
    </rPh>
    <rPh sb="9" eb="11">
      <t>コウカ</t>
    </rPh>
    <phoneticPr fontId="2"/>
  </si>
  <si>
    <t>c：⑬＋⑭＋⑲＋⑳＋㉑</t>
    <phoneticPr fontId="2"/>
  </si>
  <si>
    <t>年</t>
    <rPh sb="0" eb="1">
      <t>ネン</t>
    </rPh>
    <phoneticPr fontId="2"/>
  </si>
  <si>
    <t xml:space="preserve"> -a/(c+b）</t>
    <phoneticPr fontId="2"/>
  </si>
  <si>
    <r>
      <t>Y=(1.12X＋266)×稼働日数(日/年)×24(h/日)×10</t>
    </r>
    <r>
      <rPr>
        <vertAlign val="superscript"/>
        <sz val="11"/>
        <rFont val="游ゴシック"/>
        <family val="3"/>
        <charset val="128"/>
        <scheme val="minor"/>
      </rPr>
      <t>-3</t>
    </r>
    <rPh sb="14" eb="16">
      <t>カドウ</t>
    </rPh>
    <rPh sb="16" eb="18">
      <t>ニッスウ</t>
    </rPh>
    <rPh sb="19" eb="20">
      <t>ヒ</t>
    </rPh>
    <rPh sb="21" eb="22">
      <t>ネン</t>
    </rPh>
    <rPh sb="29" eb="30">
      <t>ヒ</t>
    </rPh>
    <phoneticPr fontId="2"/>
  </si>
  <si>
    <t>①、X：汚泥投入量(wet-t/日)</t>
    <rPh sb="4" eb="6">
      <t>オデイ</t>
    </rPh>
    <rPh sb="6" eb="9">
      <t>トウニュウリョウ</t>
    </rPh>
    <phoneticPr fontId="2"/>
  </si>
  <si>
    <r>
      <t>Y=補助燃料使用量(m</t>
    </r>
    <r>
      <rPr>
        <vertAlign val="superscript"/>
        <sz val="10"/>
        <rFont val="游ゴシック"/>
        <family val="3"/>
        <charset val="128"/>
        <scheme val="minor"/>
      </rPr>
      <t>3</t>
    </r>
    <r>
      <rPr>
        <sz val="10"/>
        <rFont val="游ゴシック"/>
        <family val="3"/>
        <charset val="128"/>
        <scheme val="minor"/>
      </rPr>
      <t>/h or L/h)×稼働日数(日/年)×24(h/日)×補助燃料エネルギー原単位(MJ/m</t>
    </r>
    <r>
      <rPr>
        <vertAlign val="superscript"/>
        <sz val="10"/>
        <rFont val="游ゴシック"/>
        <family val="3"/>
        <charset val="128"/>
        <scheme val="minor"/>
      </rPr>
      <t>3</t>
    </r>
    <r>
      <rPr>
        <sz val="10"/>
        <rFont val="游ゴシック"/>
        <family val="3"/>
        <charset val="128"/>
        <scheme val="minor"/>
      </rPr>
      <t xml:space="preserve"> or L)×10</t>
    </r>
    <r>
      <rPr>
        <vertAlign val="superscript"/>
        <sz val="10"/>
        <rFont val="游ゴシック"/>
        <family val="3"/>
        <charset val="128"/>
        <scheme val="minor"/>
      </rPr>
      <t>-3</t>
    </r>
    <r>
      <rPr>
        <sz val="10"/>
        <rFont val="游ゴシック"/>
        <family val="3"/>
        <charset val="128"/>
        <scheme val="minor"/>
      </rPr>
      <t>×換算係数(kWh/MJ)</t>
    </r>
    <rPh sb="2" eb="4">
      <t>ホジョ</t>
    </rPh>
    <rPh sb="4" eb="6">
      <t>ネンリョウ</t>
    </rPh>
    <rPh sb="6" eb="9">
      <t>シヨウリョウ</t>
    </rPh>
    <rPh sb="23" eb="25">
      <t>カドウ</t>
    </rPh>
    <rPh sb="25" eb="27">
      <t>ニッスウ</t>
    </rPh>
    <rPh sb="28" eb="29">
      <t>ニチ</t>
    </rPh>
    <rPh sb="30" eb="31">
      <t>ネン</t>
    </rPh>
    <rPh sb="38" eb="39">
      <t>ニチ</t>
    </rPh>
    <rPh sb="41" eb="43">
      <t>ホジョ</t>
    </rPh>
    <rPh sb="43" eb="45">
      <t>ネンリョウ</t>
    </rPh>
    <rPh sb="50" eb="53">
      <t>ゲンタンイ</t>
    </rPh>
    <rPh sb="71" eb="73">
      <t>カンサン</t>
    </rPh>
    <rPh sb="73" eb="75">
      <t>ケイスウ</t>
    </rPh>
    <phoneticPr fontId="2"/>
  </si>
  <si>
    <t>換算係数
(kWh/MJ)</t>
    <rPh sb="0" eb="2">
      <t>カンサン</t>
    </rPh>
    <rPh sb="2" eb="4">
      <t>ケイスウ</t>
    </rPh>
    <phoneticPr fontId="2"/>
  </si>
  <si>
    <t>③：①+②　※消費電力量（B）</t>
    <rPh sb="7" eb="9">
      <t>ショウヒ</t>
    </rPh>
    <rPh sb="9" eb="12">
      <t>デンリョクリョウ</t>
    </rPh>
    <phoneticPr fontId="2"/>
  </si>
  <si>
    <t>発電、局所攪拌設備
(焼却設備含む)</t>
    <rPh sb="0" eb="2">
      <t>ハツデン</t>
    </rPh>
    <rPh sb="3" eb="5">
      <t>キョクショ</t>
    </rPh>
    <rPh sb="5" eb="7">
      <t>カクハン</t>
    </rPh>
    <rPh sb="7" eb="9">
      <t>セツビ</t>
    </rPh>
    <rPh sb="11" eb="13">
      <t>ショウキャク</t>
    </rPh>
    <rPh sb="13" eb="15">
      <t>セツビ</t>
    </rPh>
    <rPh sb="15" eb="16">
      <t>フク</t>
    </rPh>
    <phoneticPr fontId="2"/>
  </si>
  <si>
    <t>消費電力量(焼却設備含む)</t>
    <rPh sb="0" eb="2">
      <t>ショウヒ</t>
    </rPh>
    <rPh sb="2" eb="4">
      <t>デンリョク</t>
    </rPh>
    <rPh sb="4" eb="5">
      <t>リョウ</t>
    </rPh>
    <phoneticPr fontId="2"/>
  </si>
  <si>
    <t>消費電力
(ｋW)</t>
    <rPh sb="0" eb="2">
      <t>ショウヒ</t>
    </rPh>
    <rPh sb="2" eb="4">
      <t>デンリョク</t>
    </rPh>
    <phoneticPr fontId="2"/>
  </si>
  <si>
    <t>Y=(1.12X＋266)＋(0.119X+65.1)-(0.213X+10.462)</t>
    <phoneticPr fontId="2"/>
  </si>
  <si>
    <t>X：汚泥投入量(wet-t/日)</t>
    <phoneticPr fontId="2"/>
  </si>
  <si>
    <r>
      <t>Y=消費電力(kW)×稼働日数(日/年)×24(h/日)×10</t>
    </r>
    <r>
      <rPr>
        <vertAlign val="superscript"/>
        <sz val="11"/>
        <rFont val="游ゴシック"/>
        <family val="3"/>
        <charset val="128"/>
        <scheme val="minor"/>
      </rPr>
      <t>-3</t>
    </r>
    <rPh sb="2" eb="4">
      <t>ショウヒ</t>
    </rPh>
    <rPh sb="4" eb="6">
      <t>デンリョク</t>
    </rPh>
    <rPh sb="11" eb="13">
      <t>カドウ</t>
    </rPh>
    <rPh sb="13" eb="15">
      <t>ニッスウ</t>
    </rPh>
    <rPh sb="16" eb="17">
      <t>ヒ</t>
    </rPh>
    <rPh sb="18" eb="19">
      <t>ネン</t>
    </rPh>
    <rPh sb="26" eb="27">
      <t>ヒ</t>
    </rPh>
    <phoneticPr fontId="2"/>
  </si>
  <si>
    <t>補助燃料使用によるエネルギー消費量</t>
    <rPh sb="0" eb="4">
      <t>ホジョネンリョウ</t>
    </rPh>
    <rPh sb="4" eb="6">
      <t>シヨウ</t>
    </rPh>
    <rPh sb="14" eb="17">
      <t>ショウヒリョウ</t>
    </rPh>
    <phoneticPr fontId="2"/>
  </si>
  <si>
    <r>
      <t>Y=補助燃料使用量(m</t>
    </r>
    <r>
      <rPr>
        <vertAlign val="superscript"/>
        <sz val="10"/>
        <rFont val="游ゴシック"/>
        <family val="3"/>
        <charset val="128"/>
        <scheme val="minor"/>
      </rPr>
      <t>3</t>
    </r>
    <r>
      <rPr>
        <sz val="10"/>
        <rFont val="游ゴシック"/>
        <family val="3"/>
        <charset val="128"/>
        <scheme val="minor"/>
      </rPr>
      <t xml:space="preserve"> or L/h)×稼働日数(日/年)×24(h/日)×補助燃料エネルギー原単位(MJ/m</t>
    </r>
    <r>
      <rPr>
        <vertAlign val="superscript"/>
        <sz val="10"/>
        <rFont val="游ゴシック"/>
        <family val="3"/>
        <charset val="128"/>
        <scheme val="minor"/>
      </rPr>
      <t>3</t>
    </r>
    <r>
      <rPr>
        <sz val="10"/>
        <rFont val="游ゴシック"/>
        <family val="3"/>
        <charset val="128"/>
        <scheme val="minor"/>
      </rPr>
      <t xml:space="preserve"> or MJ/L)×10</t>
    </r>
    <r>
      <rPr>
        <vertAlign val="superscript"/>
        <sz val="10"/>
        <rFont val="游ゴシック"/>
        <family val="3"/>
        <charset val="128"/>
        <scheme val="minor"/>
      </rPr>
      <t>-3</t>
    </r>
    <r>
      <rPr>
        <sz val="10"/>
        <rFont val="游ゴシック"/>
        <family val="3"/>
        <charset val="128"/>
        <scheme val="minor"/>
      </rPr>
      <t>×換算係数(kWh/MJ)</t>
    </r>
    <rPh sb="2" eb="4">
      <t>ホジョ</t>
    </rPh>
    <rPh sb="4" eb="6">
      <t>ネンリョウ</t>
    </rPh>
    <rPh sb="6" eb="9">
      <t>シヨウリョウ</t>
    </rPh>
    <rPh sb="21" eb="23">
      <t>カドウ</t>
    </rPh>
    <rPh sb="23" eb="25">
      <t>ニッスウ</t>
    </rPh>
    <rPh sb="26" eb="27">
      <t>ニチ</t>
    </rPh>
    <rPh sb="28" eb="29">
      <t>ネン</t>
    </rPh>
    <rPh sb="36" eb="37">
      <t>ニチ</t>
    </rPh>
    <rPh sb="39" eb="41">
      <t>ホジョ</t>
    </rPh>
    <rPh sb="41" eb="43">
      <t>ネンリョウ</t>
    </rPh>
    <rPh sb="48" eb="51">
      <t>ゲンタンイ</t>
    </rPh>
    <rPh sb="72" eb="74">
      <t>カンサン</t>
    </rPh>
    <rPh sb="74" eb="76">
      <t>ケイスウ</t>
    </rPh>
    <phoneticPr fontId="2"/>
  </si>
  <si>
    <t>⑥：④+⑤ 　※消費電力量（C）</t>
    <rPh sb="8" eb="10">
      <t>ショウヒ</t>
    </rPh>
    <rPh sb="10" eb="13">
      <t>デンリョクリョウ</t>
    </rPh>
    <phoneticPr fontId="2"/>
  </si>
  <si>
    <r>
      <t>Y=発電電力(kW)×稼働日数(日/年)×24(h/日)×10</t>
    </r>
    <r>
      <rPr>
        <vertAlign val="superscript"/>
        <sz val="11"/>
        <rFont val="游ゴシック"/>
        <family val="3"/>
        <charset val="128"/>
        <scheme val="minor"/>
      </rPr>
      <t>-3</t>
    </r>
    <rPh sb="2" eb="4">
      <t>ハツデン</t>
    </rPh>
    <rPh sb="4" eb="6">
      <t>デンリョク</t>
    </rPh>
    <rPh sb="11" eb="13">
      <t>カドウ</t>
    </rPh>
    <rPh sb="13" eb="15">
      <t>ニッスウ</t>
    </rPh>
    <rPh sb="16" eb="17">
      <t>ヒ</t>
    </rPh>
    <rPh sb="18" eb="19">
      <t>ネン</t>
    </rPh>
    <rPh sb="26" eb="27">
      <t>ニチ</t>
    </rPh>
    <phoneticPr fontId="2"/>
  </si>
  <si>
    <t>⑧：{1-(⑥－⑦)/③}×100</t>
    <phoneticPr fontId="2"/>
  </si>
  <si>
    <r>
      <t>Y=補助燃料使用量(m</t>
    </r>
    <r>
      <rPr>
        <vertAlign val="superscript"/>
        <sz val="10"/>
        <rFont val="游ゴシック"/>
        <family val="3"/>
        <charset val="128"/>
        <scheme val="minor"/>
      </rPr>
      <t>3</t>
    </r>
    <r>
      <rPr>
        <sz val="10"/>
        <rFont val="游ゴシック"/>
        <family val="3"/>
        <charset val="128"/>
        <scheme val="minor"/>
      </rPr>
      <t>/h or L/h)×稼働日数(日/年)×24(h/日)×GHG排出量原単位(kg-CO</t>
    </r>
    <r>
      <rPr>
        <vertAlign val="subscript"/>
        <sz val="10"/>
        <rFont val="游ゴシック"/>
        <family val="3"/>
        <charset val="128"/>
        <scheme val="minor"/>
      </rPr>
      <t>2</t>
    </r>
    <r>
      <rPr>
        <sz val="10"/>
        <rFont val="游ゴシック"/>
        <family val="3"/>
        <charset val="128"/>
        <scheme val="minor"/>
      </rPr>
      <t>/m</t>
    </r>
    <r>
      <rPr>
        <vertAlign val="superscript"/>
        <sz val="10"/>
        <rFont val="游ゴシック"/>
        <family val="3"/>
        <charset val="128"/>
        <scheme val="minor"/>
      </rPr>
      <t>3</t>
    </r>
    <r>
      <rPr>
        <sz val="10"/>
        <rFont val="游ゴシック"/>
        <family val="3"/>
        <charset val="128"/>
        <scheme val="minor"/>
      </rPr>
      <t xml:space="preserve"> or kg-CO</t>
    </r>
    <r>
      <rPr>
        <vertAlign val="subscript"/>
        <sz val="10"/>
        <rFont val="游ゴシック"/>
        <family val="3"/>
        <charset val="128"/>
        <scheme val="minor"/>
      </rPr>
      <t>2</t>
    </r>
    <r>
      <rPr>
        <sz val="10"/>
        <rFont val="游ゴシック"/>
        <family val="3"/>
        <charset val="128"/>
        <scheme val="minor"/>
      </rPr>
      <t>/L)×10</t>
    </r>
    <r>
      <rPr>
        <vertAlign val="superscript"/>
        <sz val="10"/>
        <rFont val="游ゴシック"/>
        <family val="3"/>
        <charset val="128"/>
        <scheme val="minor"/>
      </rPr>
      <t>-3</t>
    </r>
    <rPh sb="44" eb="46">
      <t>ハイシュツ</t>
    </rPh>
    <rPh sb="46" eb="47">
      <t>リョウ</t>
    </rPh>
    <phoneticPr fontId="2"/>
  </si>
  <si>
    <t>④：①＋②+③</t>
    <phoneticPr fontId="2"/>
  </si>
  <si>
    <t>消費電力由来GHG排出量(焼却設備含む)</t>
    <rPh sb="0" eb="2">
      <t>ショウヒ</t>
    </rPh>
    <rPh sb="2" eb="4">
      <t>デンリョク</t>
    </rPh>
    <rPh sb="4" eb="6">
      <t>ユライ</t>
    </rPh>
    <rPh sb="9" eb="12">
      <t>ハイシュツリョウ</t>
    </rPh>
    <phoneticPr fontId="2"/>
  </si>
  <si>
    <r>
      <t>Y=0.000232(t-N</t>
    </r>
    <r>
      <rPr>
        <vertAlign val="subscript"/>
        <sz val="11"/>
        <color theme="1"/>
        <rFont val="游ゴシック"/>
        <family val="3"/>
        <charset val="128"/>
        <scheme val="minor"/>
      </rPr>
      <t>2</t>
    </r>
    <r>
      <rPr>
        <sz val="11"/>
        <color theme="1"/>
        <rFont val="游ゴシック"/>
        <family val="2"/>
        <charset val="128"/>
        <scheme val="minor"/>
      </rPr>
      <t>O/wet-t)X×稼働日数(日/年)</t>
    </r>
    <rPh sb="25" eb="27">
      <t>カドウ</t>
    </rPh>
    <rPh sb="27" eb="29">
      <t>ニッスウ</t>
    </rPh>
    <rPh sb="30" eb="31">
      <t>ヒ</t>
    </rPh>
    <rPh sb="32" eb="33">
      <t>ネン</t>
    </rPh>
    <phoneticPr fontId="2"/>
  </si>
  <si>
    <t>X：汚泥投入量（wet-t/日）</t>
    <phoneticPr fontId="2"/>
  </si>
  <si>
    <t>⑨：⑤＋⑥＋⑦＋⑧</t>
    <phoneticPr fontId="2"/>
  </si>
  <si>
    <t>⑩：(1－⑨/④)×100</t>
    <phoneticPr fontId="2"/>
  </si>
  <si>
    <t>　費用を算出する場合非表示になっている36~92を再表示させて下さい</t>
    <rPh sb="1" eb="3">
      <t>ヒヨウ</t>
    </rPh>
    <rPh sb="4" eb="6">
      <t>サンシュツ</t>
    </rPh>
    <rPh sb="8" eb="10">
      <t>バアイ</t>
    </rPh>
    <rPh sb="10" eb="13">
      <t>ヒヒョウジ</t>
    </rPh>
    <rPh sb="25" eb="26">
      <t>サイ</t>
    </rPh>
    <rPh sb="26" eb="28">
      <t>ヒョウジ</t>
    </rPh>
    <rPh sb="31" eb="32">
      <t>クダ</t>
    </rPh>
    <phoneticPr fontId="2"/>
  </si>
  <si>
    <t>汚泥焼却設備、廃熱発電設備</t>
    <phoneticPr fontId="2"/>
  </si>
  <si>
    <t>日平均汚水量10,000m³/日までの処理場</t>
    <rPh sb="0" eb="3">
      <t>ニチヘイキン</t>
    </rPh>
    <rPh sb="3" eb="6">
      <t>オスイリョウ</t>
    </rPh>
    <rPh sb="15" eb="16">
      <t>ニチ</t>
    </rPh>
    <rPh sb="19" eb="22">
      <t>ショリジョウ</t>
    </rPh>
    <phoneticPr fontId="2"/>
  </si>
  <si>
    <t>【B－DASH】低コスト・省エネルギー型高濃度メタン発酵技術</t>
    <phoneticPr fontId="2"/>
  </si>
  <si>
    <t>諸元値</t>
    <rPh sb="0" eb="2">
      <t>ショゲン</t>
    </rPh>
    <rPh sb="2" eb="3">
      <t>アタイ</t>
    </rPh>
    <phoneticPr fontId="43"/>
  </si>
  <si>
    <t>従来技術</t>
    <rPh sb="0" eb="2">
      <t>ジュウライ</t>
    </rPh>
    <rPh sb="2" eb="4">
      <t>ギジュツ</t>
    </rPh>
    <phoneticPr fontId="43"/>
  </si>
  <si>
    <t>日最大発生汚泥量</t>
    <rPh sb="0" eb="1">
      <t>ニチ</t>
    </rPh>
    <rPh sb="1" eb="3">
      <t>サイダイ</t>
    </rPh>
    <rPh sb="3" eb="5">
      <t>ハッセイ</t>
    </rPh>
    <rPh sb="5" eb="7">
      <t>オデイ</t>
    </rPh>
    <rPh sb="7" eb="8">
      <t>リョウ</t>
    </rPh>
    <phoneticPr fontId="43"/>
  </si>
  <si>
    <r>
      <t>m</t>
    </r>
    <r>
      <rPr>
        <vertAlign val="superscript"/>
        <sz val="11"/>
        <color theme="1"/>
        <rFont val="ＭＳ Ｐゴシック"/>
        <family val="3"/>
        <charset val="128"/>
      </rPr>
      <t>3</t>
    </r>
    <r>
      <rPr>
        <sz val="11"/>
        <color theme="1"/>
        <rFont val="游ゴシック"/>
        <family val="2"/>
        <charset val="128"/>
        <scheme val="minor"/>
      </rPr>
      <t>/日</t>
    </r>
    <rPh sb="3" eb="4">
      <t>ニチ</t>
    </rPh>
    <phoneticPr fontId="43"/>
  </si>
  <si>
    <t>Qd0</t>
    <phoneticPr fontId="43"/>
  </si>
  <si>
    <t>1％換算</t>
    <rPh sb="2" eb="4">
      <t>カンザン</t>
    </rPh>
    <phoneticPr fontId="43"/>
  </si>
  <si>
    <r>
      <t>【試算条件】
（原料汚泥）
　・日最大と日平均の発生汚泥量比率　1：0.8
　・重力濃縮と機械濃縮の固形分比率　1：1
　・汚泥VTS：0.8
（回収率）
　・濃縮回収率（従来）：90％
　・高濃度濃縮回収率（革新）：95％
　・脱水回収率（従来、革新共通）：90％
（消化性能）
　・消化槽でのVS分解率：55％
　・バイオガス発生量：500 Nm</t>
    </r>
    <r>
      <rPr>
        <vertAlign val="superscript"/>
        <sz val="8"/>
        <color theme="1"/>
        <rFont val="ＭＳ Ｐゴシック"/>
        <family val="3"/>
        <charset val="128"/>
      </rPr>
      <t>3</t>
    </r>
    <r>
      <rPr>
        <sz val="8"/>
        <color theme="1"/>
        <rFont val="ＭＳ Ｐゴシック"/>
        <family val="3"/>
        <charset val="128"/>
      </rPr>
      <t>/t-VS投入
（脱水汚泥）
　・脱水汚泥含水率：従来直接脱水79％，従来消化脱水82％，
　　　　　　　　　　　　　革新消化脱水（2液調質）80％
　・ポリ硫酸第二鉄添加による脱水汚泥固形物量増（革新）：
　　脱水機供給汚泥固形物量×25％（添加率）
　　×11％（ポリ硫酸第二鉄溶液濃度）
　　×107／56（Fe(OH)</t>
    </r>
    <r>
      <rPr>
        <vertAlign val="subscript"/>
        <sz val="8"/>
        <color theme="1"/>
        <rFont val="ＭＳ Ｐゴシック"/>
        <family val="3"/>
        <charset val="128"/>
      </rPr>
      <t>3</t>
    </r>
    <r>
      <rPr>
        <sz val="8"/>
        <color theme="1"/>
        <rFont val="ＭＳ Ｐゴシック"/>
        <family val="3"/>
        <charset val="128"/>
      </rPr>
      <t>分子量／Fe分子量）
（薬注率）
　・高分子凝集剤（従来・機械濃縮）：0.3％
　・高分子凝集剤（従来・直接脱水）：1.2％
　・高分子凝集剤（従来・消化脱水）：1.6％
　・高分子凝集剤（革新・高濃度濃縮）：0.35％
　・高分子凝集剤（革新・脱水）：1.5％
　・ポリ硫酸第二鉄（革新・脱水）：25％
（バイオガス発電）
　・バイオガス発電（従来）：発電効率 32％，廃熱回収率 52％
　　⇒1台当たりの定格発電出力25 kW，廃熱回収量40.6 kW
　　発電量（システム端）＝発電量（発電端）×90％
　・バイオガス発電（革新）：発電効率33％
（水素製造・供給）
　・水素製造量：70 Nm</t>
    </r>
    <r>
      <rPr>
        <vertAlign val="superscript"/>
        <sz val="8"/>
        <color theme="1"/>
        <rFont val="ＭＳ Ｐゴシック"/>
        <family val="3"/>
        <charset val="128"/>
      </rPr>
      <t>3</t>
    </r>
    <r>
      <rPr>
        <sz val="8"/>
        <color theme="1"/>
        <rFont val="ＭＳ Ｐゴシック"/>
        <family val="3"/>
        <charset val="128"/>
      </rPr>
      <t>/週
　・水素供給量：10 Nm</t>
    </r>
    <r>
      <rPr>
        <vertAlign val="superscript"/>
        <sz val="8"/>
        <color theme="1"/>
        <rFont val="ＭＳ Ｐゴシック"/>
        <family val="3"/>
        <charset val="128"/>
      </rPr>
      <t>3</t>
    </r>
    <r>
      <rPr>
        <sz val="8"/>
        <color theme="1"/>
        <rFont val="ＭＳ Ｐゴシック"/>
        <family val="3"/>
        <charset val="128"/>
      </rPr>
      <t>/日（圧縮機運転時間：8 h/日）
（稼働日数）
　・濃縮・消化・脱水設備：365日/年
　・精製・発電設備：355日/年
　・水素製造・供給設備：345日/年
（電力→熱量換算）
　・受電端投入熱量：9.484 MJ/kWh</t>
    </r>
    <rPh sb="1" eb="3">
      <t>シサン</t>
    </rPh>
    <rPh sb="3" eb="5">
      <t>ジョウケン</t>
    </rPh>
    <rPh sb="9" eb="11">
      <t>ゲンリョウ</t>
    </rPh>
    <rPh sb="11" eb="13">
      <t>オデイ</t>
    </rPh>
    <rPh sb="25" eb="27">
      <t>ハッセイ</t>
    </rPh>
    <rPh sb="27" eb="29">
      <t>オデイ</t>
    </rPh>
    <rPh sb="29" eb="30">
      <t>リョウ</t>
    </rPh>
    <rPh sb="30" eb="32">
      <t>ヒリツ</t>
    </rPh>
    <rPh sb="101" eb="103">
      <t>カイシュウ</t>
    </rPh>
    <rPh sb="103" eb="104">
      <t>リツ</t>
    </rPh>
    <rPh sb="116" eb="118">
      <t>ダッスイ</t>
    </rPh>
    <rPh sb="125" eb="127">
      <t>カクシン</t>
    </rPh>
    <rPh sb="127" eb="129">
      <t>キョウツウ</t>
    </rPh>
    <rPh sb="163" eb="165">
      <t>ショウカ</t>
    </rPh>
    <rPh sb="165" eb="167">
      <t>セイノウ</t>
    </rPh>
    <rPh sb="213" eb="215">
      <t>ダッスイ</t>
    </rPh>
    <rPh sb="215" eb="217">
      <t>オデイ</t>
    </rPh>
    <rPh sb="271" eb="272">
      <t>エキ</t>
    </rPh>
    <rPh sb="272" eb="274">
      <t>チョウシツ</t>
    </rPh>
    <rPh sb="397" eb="399">
      <t>キカイ</t>
    </rPh>
    <rPh sb="527" eb="529">
      <t>ハツデン</t>
    </rPh>
    <rPh sb="647" eb="649">
      <t>スイソ</t>
    </rPh>
    <rPh sb="649" eb="651">
      <t>セイゾウ</t>
    </rPh>
    <rPh sb="652" eb="654">
      <t>キョウキュウ</t>
    </rPh>
    <rPh sb="658" eb="660">
      <t>スイソ</t>
    </rPh>
    <rPh sb="660" eb="662">
      <t>セイゾウ</t>
    </rPh>
    <rPh sb="662" eb="663">
      <t>リョウ</t>
    </rPh>
    <rPh sb="671" eb="672">
      <t>シュウ</t>
    </rPh>
    <rPh sb="675" eb="677">
      <t>スイソ</t>
    </rPh>
    <rPh sb="677" eb="679">
      <t>キョウキュウ</t>
    </rPh>
    <rPh sb="679" eb="680">
      <t>リョウ</t>
    </rPh>
    <rPh sb="688" eb="689">
      <t>ニチ</t>
    </rPh>
    <rPh sb="690" eb="693">
      <t>アッシュクキ</t>
    </rPh>
    <rPh sb="693" eb="695">
      <t>ウンテン</t>
    </rPh>
    <rPh sb="695" eb="697">
      <t>ジカン</t>
    </rPh>
    <rPh sb="702" eb="703">
      <t>ニチ</t>
    </rPh>
    <rPh sb="706" eb="708">
      <t>カドウ</t>
    </rPh>
    <rPh sb="708" eb="710">
      <t>ニッスウ</t>
    </rPh>
    <rPh sb="714" eb="716">
      <t>ノウシュク</t>
    </rPh>
    <rPh sb="717" eb="719">
      <t>ショウカ</t>
    </rPh>
    <rPh sb="720" eb="722">
      <t>ダッスイ</t>
    </rPh>
    <rPh sb="722" eb="724">
      <t>セツビ</t>
    </rPh>
    <rPh sb="728" eb="729">
      <t>ニチ</t>
    </rPh>
    <rPh sb="730" eb="731">
      <t>ネン</t>
    </rPh>
    <rPh sb="734" eb="736">
      <t>セイセイ</t>
    </rPh>
    <rPh sb="737" eb="739">
      <t>ハツデン</t>
    </rPh>
    <rPh sb="751" eb="753">
      <t>スイソ</t>
    </rPh>
    <rPh sb="753" eb="755">
      <t>セイゾウ</t>
    </rPh>
    <rPh sb="756" eb="758">
      <t>キョウキュウ</t>
    </rPh>
    <phoneticPr fontId="43"/>
  </si>
  <si>
    <t>濃縮後日最大汚泥量</t>
    <rPh sb="0" eb="2">
      <t>ノウシュク</t>
    </rPh>
    <rPh sb="2" eb="3">
      <t>ゴ</t>
    </rPh>
    <rPh sb="3" eb="4">
      <t>ニチ</t>
    </rPh>
    <rPh sb="4" eb="6">
      <t>サイダイ</t>
    </rPh>
    <rPh sb="6" eb="8">
      <t>オデイ</t>
    </rPh>
    <rPh sb="8" eb="9">
      <t>リョウ</t>
    </rPh>
    <phoneticPr fontId="43"/>
  </si>
  <si>
    <t>Qd1</t>
    <phoneticPr fontId="43"/>
  </si>
  <si>
    <t>日最大脱水投入汚泥量</t>
    <rPh sb="0" eb="1">
      <t>ニチ</t>
    </rPh>
    <rPh sb="1" eb="3">
      <t>サイダイ</t>
    </rPh>
    <rPh sb="3" eb="5">
      <t>ダッスイ</t>
    </rPh>
    <rPh sb="5" eb="7">
      <t>トウニュウ</t>
    </rPh>
    <rPh sb="7" eb="9">
      <t>オデイ</t>
    </rPh>
    <rPh sb="9" eb="10">
      <t>リョウ</t>
    </rPh>
    <phoneticPr fontId="43"/>
  </si>
  <si>
    <t>消化なし</t>
    <rPh sb="0" eb="2">
      <t>ショウカ</t>
    </rPh>
    <phoneticPr fontId="43"/>
  </si>
  <si>
    <t>Qd2</t>
    <phoneticPr fontId="43"/>
  </si>
  <si>
    <t>消化あり</t>
    <rPh sb="0" eb="2">
      <t>ショウカ</t>
    </rPh>
    <phoneticPr fontId="43"/>
  </si>
  <si>
    <t>脱硫装置バイオガス処理能力</t>
    <rPh sb="0" eb="2">
      <t>ダツリュウ</t>
    </rPh>
    <rPh sb="2" eb="4">
      <t>ソウチ</t>
    </rPh>
    <rPh sb="9" eb="11">
      <t>ショリ</t>
    </rPh>
    <rPh sb="11" eb="13">
      <t>ノウリョク</t>
    </rPh>
    <phoneticPr fontId="43"/>
  </si>
  <si>
    <r>
      <t>m</t>
    </r>
    <r>
      <rPr>
        <vertAlign val="superscript"/>
        <sz val="11"/>
        <color theme="1"/>
        <rFont val="ＭＳ Ｐゴシック"/>
        <family val="3"/>
        <charset val="128"/>
      </rPr>
      <t>3</t>
    </r>
    <r>
      <rPr>
        <sz val="11"/>
        <color theme="1"/>
        <rFont val="游ゴシック"/>
        <family val="2"/>
        <charset val="128"/>
        <scheme val="minor"/>
      </rPr>
      <t>/時</t>
    </r>
    <rPh sb="3" eb="4">
      <t>ジ</t>
    </rPh>
    <phoneticPr fontId="43"/>
  </si>
  <si>
    <t>g</t>
    <phoneticPr fontId="43"/>
  </si>
  <si>
    <t>日最大バイオガス発生量÷24</t>
    <rPh sb="0" eb="1">
      <t>ニチ</t>
    </rPh>
    <rPh sb="1" eb="3">
      <t>サイダイ</t>
    </rPh>
    <rPh sb="8" eb="10">
      <t>ハッセイ</t>
    </rPh>
    <rPh sb="10" eb="11">
      <t>リョウ</t>
    </rPh>
    <phoneticPr fontId="43"/>
  </si>
  <si>
    <t>ガスホルダ貯留容量</t>
    <rPh sb="5" eb="7">
      <t>チョリュウ</t>
    </rPh>
    <rPh sb="7" eb="9">
      <t>ヨウリョウ</t>
    </rPh>
    <phoneticPr fontId="43"/>
  </si>
  <si>
    <r>
      <t>m</t>
    </r>
    <r>
      <rPr>
        <vertAlign val="superscript"/>
        <sz val="11"/>
        <color theme="1"/>
        <rFont val="ＭＳ Ｐゴシック"/>
        <family val="3"/>
        <charset val="128"/>
      </rPr>
      <t>3</t>
    </r>
    <phoneticPr fontId="43"/>
  </si>
  <si>
    <t>V</t>
    <phoneticPr fontId="43"/>
  </si>
  <si>
    <t>日最大バイオガス発生量の半日分</t>
    <rPh sb="0" eb="1">
      <t>ニチ</t>
    </rPh>
    <rPh sb="1" eb="3">
      <t>サイダイ</t>
    </rPh>
    <rPh sb="8" eb="10">
      <t>ハッセイ</t>
    </rPh>
    <rPh sb="10" eb="11">
      <t>リョウ</t>
    </rPh>
    <rPh sb="12" eb="14">
      <t>ハンニチ</t>
    </rPh>
    <rPh sb="14" eb="15">
      <t>ブン</t>
    </rPh>
    <phoneticPr fontId="43"/>
  </si>
  <si>
    <t>総発電施設規模</t>
    <rPh sb="0" eb="1">
      <t>ソウ</t>
    </rPh>
    <rPh sb="1" eb="3">
      <t>ハツデン</t>
    </rPh>
    <rPh sb="3" eb="5">
      <t>シセツ</t>
    </rPh>
    <rPh sb="5" eb="7">
      <t>キボ</t>
    </rPh>
    <phoneticPr fontId="43"/>
  </si>
  <si>
    <t>kW</t>
    <phoneticPr fontId="43"/>
  </si>
  <si>
    <t>x</t>
    <phoneticPr fontId="43"/>
  </si>
  <si>
    <t>革新的
技術</t>
    <rPh sb="0" eb="3">
      <t>カクシンテキ</t>
    </rPh>
    <rPh sb="4" eb="6">
      <t>ギジュツ</t>
    </rPh>
    <phoneticPr fontId="43"/>
  </si>
  <si>
    <t>日最大発生汚泥固形物量</t>
    <rPh sb="0" eb="1">
      <t>ニチ</t>
    </rPh>
    <rPh sb="1" eb="3">
      <t>サイダイ</t>
    </rPh>
    <rPh sb="3" eb="5">
      <t>ハッセイ</t>
    </rPh>
    <rPh sb="5" eb="7">
      <t>オデイ</t>
    </rPh>
    <rPh sb="7" eb="10">
      <t>コケイブツ</t>
    </rPh>
    <rPh sb="10" eb="11">
      <t>リョウ</t>
    </rPh>
    <phoneticPr fontId="43"/>
  </si>
  <si>
    <t>t-ds/日</t>
  </si>
  <si>
    <t>Q1</t>
    <phoneticPr fontId="43"/>
  </si>
  <si>
    <t>Q1≦25</t>
    <phoneticPr fontId="43"/>
  </si>
  <si>
    <t>日最大バイオガス発生量</t>
    <rPh sb="0" eb="1">
      <t>ニチ</t>
    </rPh>
    <rPh sb="1" eb="3">
      <t>サイダイ</t>
    </rPh>
    <rPh sb="8" eb="10">
      <t>ハッセイ</t>
    </rPh>
    <rPh sb="10" eb="11">
      <t>リョウ</t>
    </rPh>
    <phoneticPr fontId="43"/>
  </si>
  <si>
    <r>
      <t>Nm</t>
    </r>
    <r>
      <rPr>
        <vertAlign val="superscript"/>
        <sz val="11"/>
        <color theme="1"/>
        <rFont val="ＭＳ Ｐゴシック"/>
        <family val="3"/>
        <charset val="128"/>
      </rPr>
      <t>3</t>
    </r>
    <r>
      <rPr>
        <sz val="11"/>
        <color theme="1"/>
        <rFont val="游ゴシック"/>
        <family val="2"/>
        <charset val="128"/>
        <scheme val="minor"/>
      </rPr>
      <t>/日</t>
    </r>
    <rPh sb="4" eb="5">
      <t>ニチ</t>
    </rPh>
    <phoneticPr fontId="43"/>
  </si>
  <si>
    <t>Q2</t>
    <phoneticPr fontId="43"/>
  </si>
  <si>
    <t>1,292≦Q2≦3,230</t>
    <phoneticPr fontId="43"/>
  </si>
  <si>
    <t>【単価（革新的技術）】</t>
    <rPh sb="1" eb="3">
      <t>タンカ</t>
    </rPh>
    <rPh sb="4" eb="6">
      <t>カクシン</t>
    </rPh>
    <rPh sb="6" eb="7">
      <t>テキ</t>
    </rPh>
    <rPh sb="7" eb="9">
      <t>ギジュツ</t>
    </rPh>
    <phoneticPr fontId="43"/>
  </si>
  <si>
    <t>電力</t>
    <rPh sb="0" eb="2">
      <t>デンリョク</t>
    </rPh>
    <phoneticPr fontId="43"/>
  </si>
  <si>
    <t>円/kWh</t>
    <rPh sb="0" eb="1">
      <t>エン</t>
    </rPh>
    <phoneticPr fontId="43"/>
  </si>
  <si>
    <t>A</t>
    <phoneticPr fontId="43"/>
  </si>
  <si>
    <t>高分子凝集剤（カチオン系）</t>
    <rPh sb="0" eb="6">
      <t>コウブンシギョウシュウザイ</t>
    </rPh>
    <rPh sb="11" eb="12">
      <t>ケイ</t>
    </rPh>
    <phoneticPr fontId="43"/>
  </si>
  <si>
    <t>円/kg</t>
    <rPh sb="0" eb="1">
      <t>エン</t>
    </rPh>
    <phoneticPr fontId="43"/>
  </si>
  <si>
    <t>B</t>
    <phoneticPr fontId="43"/>
  </si>
  <si>
    <t>上水</t>
    <rPh sb="0" eb="2">
      <t>ジョウスイ</t>
    </rPh>
    <phoneticPr fontId="43"/>
  </si>
  <si>
    <r>
      <t>円/m</t>
    </r>
    <r>
      <rPr>
        <vertAlign val="superscript"/>
        <sz val="11"/>
        <color theme="1"/>
        <rFont val="ＭＳ Ｐゴシック"/>
        <family val="3"/>
        <charset val="128"/>
      </rPr>
      <t>3</t>
    </r>
    <rPh sb="0" eb="1">
      <t>エン</t>
    </rPh>
    <phoneticPr fontId="43"/>
  </si>
  <si>
    <t>C</t>
    <phoneticPr fontId="43"/>
  </si>
  <si>
    <t>ポリ硫酸第二鉄（11％溶液）</t>
    <rPh sb="2" eb="7">
      <t>リュウサンダイニテツ</t>
    </rPh>
    <rPh sb="11" eb="13">
      <t>ヨウエキ</t>
    </rPh>
    <phoneticPr fontId="43"/>
  </si>
  <si>
    <t>D</t>
    <phoneticPr fontId="43"/>
  </si>
  <si>
    <t>人件費</t>
    <rPh sb="0" eb="3">
      <t>ジンケンヒ</t>
    </rPh>
    <phoneticPr fontId="43"/>
  </si>
  <si>
    <t>百万円/年/人</t>
    <rPh sb="0" eb="3">
      <t>ヒャクマンエン</t>
    </rPh>
    <rPh sb="4" eb="5">
      <t>ネン</t>
    </rPh>
    <rPh sb="6" eb="7">
      <t>ヒト</t>
    </rPh>
    <phoneticPr fontId="43"/>
  </si>
  <si>
    <t>E</t>
    <phoneticPr fontId="43"/>
  </si>
  <si>
    <t>汚泥処分費（運搬費込み）</t>
    <rPh sb="0" eb="2">
      <t>オデイ</t>
    </rPh>
    <rPh sb="2" eb="4">
      <t>ショブン</t>
    </rPh>
    <rPh sb="4" eb="5">
      <t>ヒ</t>
    </rPh>
    <rPh sb="6" eb="8">
      <t>ウンパン</t>
    </rPh>
    <rPh sb="8" eb="9">
      <t>ヒ</t>
    </rPh>
    <rPh sb="9" eb="10">
      <t>コ</t>
    </rPh>
    <phoneticPr fontId="43"/>
  </si>
  <si>
    <t>円/t-wet</t>
    <rPh sb="0" eb="1">
      <t>エン</t>
    </rPh>
    <phoneticPr fontId="43"/>
  </si>
  <si>
    <t>F</t>
    <phoneticPr fontId="43"/>
  </si>
  <si>
    <r>
      <t>【CO</t>
    </r>
    <r>
      <rPr>
        <vertAlign val="subscript"/>
        <sz val="11"/>
        <color theme="1"/>
        <rFont val="ＭＳ Ｐゴシック"/>
        <family val="3"/>
        <charset val="128"/>
      </rPr>
      <t>2</t>
    </r>
    <r>
      <rPr>
        <sz val="11"/>
        <color theme="1"/>
        <rFont val="游ゴシック"/>
        <family val="2"/>
        <charset val="128"/>
        <scheme val="minor"/>
      </rPr>
      <t>排出係数】</t>
    </r>
    <rPh sb="4" eb="6">
      <t>ハイシュツ</t>
    </rPh>
    <rPh sb="6" eb="8">
      <t>ケイスウ</t>
    </rPh>
    <phoneticPr fontId="43"/>
  </si>
  <si>
    <r>
      <t>t-CO</t>
    </r>
    <r>
      <rPr>
        <vertAlign val="subscript"/>
        <sz val="11"/>
        <color theme="1"/>
        <rFont val="ＭＳ Ｐゴシック"/>
        <family val="3"/>
        <charset val="128"/>
      </rPr>
      <t>2</t>
    </r>
    <r>
      <rPr>
        <sz val="11"/>
        <color theme="1"/>
        <rFont val="游ゴシック"/>
        <family val="2"/>
        <charset val="128"/>
        <scheme val="minor"/>
      </rPr>
      <t>/kWh</t>
    </r>
    <phoneticPr fontId="43"/>
  </si>
  <si>
    <t>a</t>
    <phoneticPr fontId="43"/>
  </si>
  <si>
    <t>高分子凝集剤</t>
    <rPh sb="0" eb="6">
      <t>コウブンシギョウシュウザイ</t>
    </rPh>
    <phoneticPr fontId="43"/>
  </si>
  <si>
    <r>
      <t>t-CO</t>
    </r>
    <r>
      <rPr>
        <vertAlign val="subscript"/>
        <sz val="11"/>
        <color theme="1"/>
        <rFont val="ＭＳ Ｐゴシック"/>
        <family val="3"/>
        <charset val="128"/>
      </rPr>
      <t>2</t>
    </r>
    <r>
      <rPr>
        <sz val="11"/>
        <color theme="1"/>
        <rFont val="游ゴシック"/>
        <family val="2"/>
        <charset val="128"/>
        <scheme val="minor"/>
      </rPr>
      <t>/t</t>
    </r>
    <phoneticPr fontId="43"/>
  </si>
  <si>
    <t>b</t>
    <phoneticPr fontId="43"/>
  </si>
  <si>
    <r>
      <t>t-CO</t>
    </r>
    <r>
      <rPr>
        <vertAlign val="subscript"/>
        <sz val="11"/>
        <color theme="1"/>
        <rFont val="ＭＳ Ｐゴシック"/>
        <family val="3"/>
        <charset val="128"/>
      </rPr>
      <t>2</t>
    </r>
    <r>
      <rPr>
        <sz val="11"/>
        <color theme="1"/>
        <rFont val="游ゴシック"/>
        <family val="2"/>
        <charset val="128"/>
        <scheme val="minor"/>
      </rPr>
      <t>/m</t>
    </r>
    <r>
      <rPr>
        <vertAlign val="superscript"/>
        <sz val="11"/>
        <color theme="1"/>
        <rFont val="ＭＳ Ｐゴシック"/>
        <family val="3"/>
        <charset val="128"/>
      </rPr>
      <t>3</t>
    </r>
    <phoneticPr fontId="43"/>
  </si>
  <si>
    <t>c</t>
    <phoneticPr fontId="43"/>
  </si>
  <si>
    <t>d</t>
    <phoneticPr fontId="43"/>
  </si>
  <si>
    <t>活性炭</t>
    <rPh sb="0" eb="3">
      <t>カッセイタン</t>
    </rPh>
    <phoneticPr fontId="43"/>
  </si>
  <si>
    <t>e</t>
    <phoneticPr fontId="43"/>
  </si>
  <si>
    <t>ガソリン</t>
    <phoneticPr fontId="43"/>
  </si>
  <si>
    <r>
      <t>t-CO</t>
    </r>
    <r>
      <rPr>
        <vertAlign val="subscript"/>
        <sz val="11"/>
        <color theme="1"/>
        <rFont val="ＭＳ Ｐゴシック"/>
        <family val="3"/>
        <charset val="128"/>
      </rPr>
      <t>2</t>
    </r>
    <r>
      <rPr>
        <sz val="11"/>
        <color theme="1"/>
        <rFont val="游ゴシック"/>
        <family val="2"/>
        <charset val="128"/>
        <scheme val="minor"/>
      </rPr>
      <t>/kL</t>
    </r>
    <phoneticPr fontId="43"/>
  </si>
  <si>
    <t>f</t>
    <phoneticPr fontId="43"/>
  </si>
  <si>
    <t>【建設工事費デフレーター】 建設費年価計算時に適用</t>
    <rPh sb="1" eb="3">
      <t>ケンセツ</t>
    </rPh>
    <rPh sb="3" eb="5">
      <t>コウジ</t>
    </rPh>
    <rPh sb="5" eb="6">
      <t>ヒ</t>
    </rPh>
    <rPh sb="14" eb="17">
      <t>ケンセツヒ</t>
    </rPh>
    <rPh sb="17" eb="18">
      <t>ネン</t>
    </rPh>
    <rPh sb="18" eb="19">
      <t>カ</t>
    </rPh>
    <rPh sb="19" eb="21">
      <t>ケイサン</t>
    </rPh>
    <rPh sb="21" eb="22">
      <t>ジ</t>
    </rPh>
    <rPh sb="23" eb="25">
      <t>テキヨウ</t>
    </rPh>
    <phoneticPr fontId="43"/>
  </si>
  <si>
    <t>出典</t>
    <rPh sb="0" eb="2">
      <t>シュッテン</t>
    </rPh>
    <phoneticPr fontId="43"/>
  </si>
  <si>
    <t>工事種別</t>
    <rPh sb="0" eb="2">
      <t>コウジ</t>
    </rPh>
    <rPh sb="2" eb="4">
      <t>シュベツ</t>
    </rPh>
    <phoneticPr fontId="43"/>
  </si>
  <si>
    <t>建設工事費デフレーター（H23基準）</t>
    <rPh sb="0" eb="2">
      <t>ケンセツ</t>
    </rPh>
    <rPh sb="2" eb="4">
      <t>コウジ</t>
    </rPh>
    <rPh sb="4" eb="5">
      <t>ヒ</t>
    </rPh>
    <rPh sb="15" eb="17">
      <t>キジュン</t>
    </rPh>
    <phoneticPr fontId="43"/>
  </si>
  <si>
    <t>下水汚泥広域利活用検討マニュアル</t>
    <rPh sb="0" eb="2">
      <t>ゲスイ</t>
    </rPh>
    <rPh sb="2" eb="4">
      <t>オデイ</t>
    </rPh>
    <rPh sb="4" eb="6">
      <t>コウイキ</t>
    </rPh>
    <rPh sb="6" eb="9">
      <t>リカツヨウ</t>
    </rPh>
    <rPh sb="9" eb="11">
      <t>ケントウ</t>
    </rPh>
    <phoneticPr fontId="43"/>
  </si>
  <si>
    <t>下水道</t>
    <rPh sb="0" eb="3">
      <t>ゲスイドウ</t>
    </rPh>
    <phoneticPr fontId="43"/>
  </si>
  <si>
    <t>92.7（H13）</t>
    <phoneticPr fontId="43"/>
  </si>
  <si>
    <t>→</t>
    <phoneticPr fontId="43"/>
  </si>
  <si>
    <t>下水処理場へのバイオマス（生ごみ等）受け入れマニュアル</t>
    <rPh sb="0" eb="2">
      <t>ゲスイ</t>
    </rPh>
    <rPh sb="2" eb="5">
      <t>ショリジョウ</t>
    </rPh>
    <rPh sb="13" eb="14">
      <t>ナマ</t>
    </rPh>
    <rPh sb="16" eb="17">
      <t>トウ</t>
    </rPh>
    <rPh sb="18" eb="19">
      <t>ウ</t>
    </rPh>
    <rPh sb="20" eb="21">
      <t>イ</t>
    </rPh>
    <phoneticPr fontId="43"/>
  </si>
  <si>
    <t>98.5（H21）</t>
    <phoneticPr fontId="43"/>
  </si>
  <si>
    <t>下水汚泥エネルギー化技術ガイドライン</t>
    <rPh sb="0" eb="2">
      <t>ゲスイ</t>
    </rPh>
    <rPh sb="2" eb="4">
      <t>オデイ</t>
    </rPh>
    <rPh sb="9" eb="10">
      <t>カ</t>
    </rPh>
    <rPh sb="10" eb="12">
      <t>ギジュツ</t>
    </rPh>
    <phoneticPr fontId="43"/>
  </si>
  <si>
    <t>107.5（H29）</t>
    <phoneticPr fontId="43"/>
  </si>
  <si>
    <t>【利子率・耐用年数】</t>
    <rPh sb="1" eb="3">
      <t>リシ</t>
    </rPh>
    <rPh sb="3" eb="4">
      <t>リツ</t>
    </rPh>
    <rPh sb="5" eb="7">
      <t>タイヨウ</t>
    </rPh>
    <rPh sb="7" eb="9">
      <t>ネンスウ</t>
    </rPh>
    <phoneticPr fontId="43"/>
  </si>
  <si>
    <t>利子率</t>
    <rPh sb="0" eb="2">
      <t>リシ</t>
    </rPh>
    <rPh sb="2" eb="3">
      <t>リツ</t>
    </rPh>
    <phoneticPr fontId="43"/>
  </si>
  <si>
    <t>％</t>
    <phoneticPr fontId="43"/>
  </si>
  <si>
    <t>i</t>
    <phoneticPr fontId="43"/>
  </si>
  <si>
    <t>耐用年数</t>
    <rPh sb="0" eb="2">
      <t>タイヨウ</t>
    </rPh>
    <rPh sb="2" eb="4">
      <t>ネンスウ</t>
    </rPh>
    <phoneticPr fontId="43"/>
  </si>
  <si>
    <t>消化</t>
    <rPh sb="0" eb="2">
      <t>ショウカ</t>
    </rPh>
    <phoneticPr fontId="43"/>
  </si>
  <si>
    <t>機械・電気（鋼板製消化槽本体）</t>
    <rPh sb="0" eb="2">
      <t>キカイ</t>
    </rPh>
    <rPh sb="3" eb="5">
      <t>デンキ</t>
    </rPh>
    <rPh sb="6" eb="8">
      <t>コウハン</t>
    </rPh>
    <rPh sb="8" eb="9">
      <t>セイ</t>
    </rPh>
    <rPh sb="9" eb="11">
      <t>ショウカ</t>
    </rPh>
    <rPh sb="11" eb="12">
      <t>ソウ</t>
    </rPh>
    <rPh sb="12" eb="14">
      <t>ホンタイ</t>
    </rPh>
    <phoneticPr fontId="43"/>
  </si>
  <si>
    <t>年</t>
    <rPh sb="0" eb="1">
      <t>ネン</t>
    </rPh>
    <phoneticPr fontId="43"/>
  </si>
  <si>
    <t>n</t>
    <phoneticPr fontId="43"/>
  </si>
  <si>
    <t>機械・電気（鋼板製消化槽本体以外）</t>
    <rPh sb="0" eb="2">
      <t>キカイ</t>
    </rPh>
    <rPh sb="3" eb="5">
      <t>デンキ</t>
    </rPh>
    <rPh sb="6" eb="8">
      <t>コウハン</t>
    </rPh>
    <rPh sb="8" eb="9">
      <t>セイ</t>
    </rPh>
    <rPh sb="9" eb="11">
      <t>ショウカ</t>
    </rPh>
    <rPh sb="11" eb="12">
      <t>ソウ</t>
    </rPh>
    <rPh sb="12" eb="14">
      <t>ホンタイ</t>
    </rPh>
    <rPh sb="14" eb="16">
      <t>イガイ</t>
    </rPh>
    <phoneticPr fontId="43"/>
  </si>
  <si>
    <t>土木</t>
    <rPh sb="0" eb="2">
      <t>ドボク</t>
    </rPh>
    <phoneticPr fontId="43"/>
  </si>
  <si>
    <t>消化以外</t>
    <rPh sb="0" eb="2">
      <t>ショウカ</t>
    </rPh>
    <rPh sb="2" eb="4">
      <t>イガイ</t>
    </rPh>
    <phoneticPr fontId="43"/>
  </si>
  <si>
    <t>機械・電気</t>
    <rPh sb="0" eb="2">
      <t>キカイ</t>
    </rPh>
    <rPh sb="3" eb="5">
      <t>デンキ</t>
    </rPh>
    <phoneticPr fontId="43"/>
  </si>
  <si>
    <t>試算範囲</t>
    <rPh sb="0" eb="4">
      <t>シサンハンイ</t>
    </rPh>
    <phoneticPr fontId="43"/>
  </si>
  <si>
    <t>算定結果</t>
    <rPh sb="0" eb="2">
      <t>サンテイ</t>
    </rPh>
    <rPh sb="2" eb="4">
      <t>ケッカ</t>
    </rPh>
    <phoneticPr fontId="43"/>
  </si>
  <si>
    <t>総費用
（年価換算値）</t>
    <rPh sb="0" eb="3">
      <t>ソウヒヨウ</t>
    </rPh>
    <rPh sb="5" eb="6">
      <t>ネン</t>
    </rPh>
    <rPh sb="6" eb="7">
      <t>カ</t>
    </rPh>
    <rPh sb="7" eb="9">
      <t>カンザン</t>
    </rPh>
    <rPh sb="9" eb="10">
      <t>チ</t>
    </rPh>
    <phoneticPr fontId="43"/>
  </si>
  <si>
    <t>百万円/年</t>
    <rPh sb="0" eb="3">
      <t>ヒャクマンエン</t>
    </rPh>
    <rPh sb="4" eb="5">
      <t>ネン</t>
    </rPh>
    <phoneticPr fontId="43"/>
  </si>
  <si>
    <t>消化あり・発電なし</t>
    <rPh sb="0" eb="2">
      <t>ショウカ</t>
    </rPh>
    <rPh sb="5" eb="7">
      <t>ハツデン</t>
    </rPh>
    <phoneticPr fontId="43"/>
  </si>
  <si>
    <t>消化あり・発電あり</t>
    <rPh sb="0" eb="2">
      <t>ショウカ</t>
    </rPh>
    <rPh sb="5" eb="7">
      <t>ハツデン</t>
    </rPh>
    <phoneticPr fontId="43"/>
  </si>
  <si>
    <t>要素技術（濃縮・消化）</t>
    <rPh sb="0" eb="2">
      <t>ヨウソ</t>
    </rPh>
    <rPh sb="2" eb="4">
      <t>ギジュツ</t>
    </rPh>
    <rPh sb="5" eb="7">
      <t>ノウシュク</t>
    </rPh>
    <rPh sb="8" eb="10">
      <t>ショウカ</t>
    </rPh>
    <phoneticPr fontId="43"/>
  </si>
  <si>
    <t>エネルギー収支
（創出量－消費量）</t>
    <rPh sb="5" eb="7">
      <t>シュウシ</t>
    </rPh>
    <rPh sb="9" eb="11">
      <t>ソウシュツ</t>
    </rPh>
    <rPh sb="11" eb="12">
      <t>リョウ</t>
    </rPh>
    <rPh sb="13" eb="16">
      <t>ショウヒリョウ</t>
    </rPh>
    <phoneticPr fontId="43"/>
  </si>
  <si>
    <t>GJ/年</t>
    <rPh sb="3" eb="4">
      <t>ネン</t>
    </rPh>
    <phoneticPr fontId="43"/>
  </si>
  <si>
    <r>
      <t>CO</t>
    </r>
    <r>
      <rPr>
        <vertAlign val="subscript"/>
        <sz val="11"/>
        <color theme="1"/>
        <rFont val="ＭＳ Ｐゴシック"/>
        <family val="3"/>
        <charset val="128"/>
      </rPr>
      <t>2</t>
    </r>
    <r>
      <rPr>
        <sz val="11"/>
        <color theme="1"/>
        <rFont val="游ゴシック"/>
        <family val="2"/>
        <charset val="128"/>
        <scheme val="minor"/>
      </rPr>
      <t>収支
（排出量－排出削減量）</t>
    </r>
    <rPh sb="3" eb="5">
      <t>シュウシ</t>
    </rPh>
    <rPh sb="7" eb="9">
      <t>ハイシュツ</t>
    </rPh>
    <rPh sb="9" eb="10">
      <t>リョウ</t>
    </rPh>
    <rPh sb="11" eb="13">
      <t>ハイシュツ</t>
    </rPh>
    <rPh sb="13" eb="15">
      <t>サクゲン</t>
    </rPh>
    <rPh sb="15" eb="16">
      <t>リョウ</t>
    </rPh>
    <phoneticPr fontId="43"/>
  </si>
  <si>
    <r>
      <t>t-CO</t>
    </r>
    <r>
      <rPr>
        <vertAlign val="subscript"/>
        <sz val="11"/>
        <color theme="1"/>
        <rFont val="ＭＳ Ｐゴシック"/>
        <family val="3"/>
        <charset val="128"/>
      </rPr>
      <t>2</t>
    </r>
    <r>
      <rPr>
        <sz val="11"/>
        <color theme="1"/>
        <rFont val="游ゴシック"/>
        <family val="2"/>
        <charset val="128"/>
        <scheme val="minor"/>
      </rPr>
      <t>/年</t>
    </r>
    <rPh sb="6" eb="7">
      <t>ネン</t>
    </rPh>
    <phoneticPr fontId="43"/>
  </si>
  <si>
    <t>革新的技術</t>
    <rPh sb="0" eb="3">
      <t>カクシンテキ</t>
    </rPh>
    <rPh sb="3" eb="5">
      <t>ギジュツ</t>
    </rPh>
    <phoneticPr fontId="43"/>
  </si>
  <si>
    <t>水素なし</t>
    <rPh sb="0" eb="2">
      <t>スイソ</t>
    </rPh>
    <phoneticPr fontId="43"/>
  </si>
  <si>
    <t>水素あり</t>
    <rPh sb="0" eb="2">
      <t>スイソ</t>
    </rPh>
    <phoneticPr fontId="43"/>
  </si>
  <si>
    <t>要素技術（高濃度消化）</t>
    <rPh sb="0" eb="2">
      <t>ヨウソ</t>
    </rPh>
    <rPh sb="2" eb="4">
      <t>ギジュツ</t>
    </rPh>
    <rPh sb="5" eb="10">
      <t>コウノウドショウカ</t>
    </rPh>
    <phoneticPr fontId="43"/>
  </si>
  <si>
    <t>建設費</t>
    <rPh sb="0" eb="3">
      <t>ケンセツヒ</t>
    </rPh>
    <phoneticPr fontId="43"/>
  </si>
  <si>
    <t>区分</t>
    <rPh sb="0" eb="2">
      <t>クブン</t>
    </rPh>
    <phoneticPr fontId="43"/>
  </si>
  <si>
    <t>項目</t>
    <rPh sb="0" eb="2">
      <t>コウモク</t>
    </rPh>
    <phoneticPr fontId="43"/>
  </si>
  <si>
    <t>単位</t>
    <rPh sb="0" eb="2">
      <t>タンイ</t>
    </rPh>
    <phoneticPr fontId="43"/>
  </si>
  <si>
    <t>関数</t>
    <rPh sb="0" eb="2">
      <t>カンスウ</t>
    </rPh>
    <phoneticPr fontId="43"/>
  </si>
  <si>
    <t>建設費
（百万円）</t>
    <rPh sb="0" eb="3">
      <t>ケンセツヒ</t>
    </rPh>
    <rPh sb="5" eb="8">
      <t>ヒャクマンエン</t>
    </rPh>
    <phoneticPr fontId="43"/>
  </si>
  <si>
    <t>年価
（百万円/年）</t>
    <rPh sb="0" eb="1">
      <t>ネン</t>
    </rPh>
    <rPh sb="1" eb="2">
      <t>カ</t>
    </rPh>
    <rPh sb="4" eb="7">
      <t>ヒャクマンエン</t>
    </rPh>
    <rPh sb="8" eb="9">
      <t>ネン</t>
    </rPh>
    <phoneticPr fontId="43"/>
  </si>
  <si>
    <t>備考</t>
    <rPh sb="0" eb="2">
      <t>ビコウ</t>
    </rPh>
    <phoneticPr fontId="43"/>
  </si>
  <si>
    <t>濃縮</t>
    <rPh sb="0" eb="2">
      <t>ノウシュク</t>
    </rPh>
    <phoneticPr fontId="43"/>
  </si>
  <si>
    <t>重力濃縮</t>
    <rPh sb="0" eb="2">
      <t>ジュウリョク</t>
    </rPh>
    <rPh sb="2" eb="4">
      <t>ノウシュク</t>
    </rPh>
    <phoneticPr fontId="43"/>
  </si>
  <si>
    <t>機械</t>
    <rPh sb="0" eb="2">
      <t>キカイ</t>
    </rPh>
    <phoneticPr fontId="43"/>
  </si>
  <si>
    <t>百万円
・
百万円/年</t>
    <rPh sb="0" eb="3">
      <t>ヒャクマンエン</t>
    </rPh>
    <rPh sb="6" eb="9">
      <t>ヒャクマンエン</t>
    </rPh>
    <rPh sb="10" eb="11">
      <t>ネン</t>
    </rPh>
    <phoneticPr fontId="43"/>
  </si>
  <si>
    <r>
      <t>Y=0.0131×（0.5×Qd0）</t>
    </r>
    <r>
      <rPr>
        <vertAlign val="superscript"/>
        <sz val="11"/>
        <color theme="1"/>
        <rFont val="ＭＳ Ｐゴシック"/>
        <family val="3"/>
        <charset val="128"/>
      </rPr>
      <t>0.611</t>
    </r>
    <r>
      <rPr>
        <sz val="11"/>
        <color theme="1"/>
        <rFont val="游ゴシック"/>
        <family val="2"/>
        <charset val="128"/>
        <scheme val="minor"/>
      </rPr>
      <t>×100</t>
    </r>
    <phoneticPr fontId="43"/>
  </si>
  <si>
    <r>
      <t>Y=0.0124×（0.5×Qd0）</t>
    </r>
    <r>
      <rPr>
        <vertAlign val="superscript"/>
        <sz val="11"/>
        <color theme="1"/>
        <rFont val="ＭＳ Ｐゴシック"/>
        <family val="3"/>
        <charset val="128"/>
      </rPr>
      <t>0.598</t>
    </r>
    <r>
      <rPr>
        <sz val="11"/>
        <color theme="1"/>
        <rFont val="游ゴシック"/>
        <family val="2"/>
        <charset val="128"/>
        <scheme val="minor"/>
      </rPr>
      <t>×100</t>
    </r>
    <phoneticPr fontId="43"/>
  </si>
  <si>
    <t>機械濃縮</t>
    <rPh sb="0" eb="4">
      <t>キカイノウシュク</t>
    </rPh>
    <phoneticPr fontId="43"/>
  </si>
  <si>
    <r>
      <t>Y=0.438×（0.5×Qd0）</t>
    </r>
    <r>
      <rPr>
        <vertAlign val="superscript"/>
        <sz val="11"/>
        <color theme="1"/>
        <rFont val="ＭＳ Ｐゴシック"/>
        <family val="3"/>
        <charset val="128"/>
      </rPr>
      <t>0.422</t>
    </r>
    <r>
      <rPr>
        <sz val="11"/>
        <color theme="1"/>
        <rFont val="游ゴシック"/>
        <family val="2"/>
        <charset val="128"/>
        <scheme val="minor"/>
      </rPr>
      <t>×100</t>
    </r>
    <phoneticPr fontId="43"/>
  </si>
  <si>
    <r>
      <t>Y=0.340×（0.5×Qd0）</t>
    </r>
    <r>
      <rPr>
        <vertAlign val="superscript"/>
        <sz val="11"/>
        <color theme="1"/>
        <rFont val="ＭＳ Ｐゴシック"/>
        <family val="3"/>
        <charset val="128"/>
      </rPr>
      <t>0.259</t>
    </r>
    <r>
      <rPr>
        <sz val="11"/>
        <color theme="1"/>
        <rFont val="游ゴシック"/>
        <family val="2"/>
        <charset val="128"/>
        <scheme val="minor"/>
      </rPr>
      <t>×100</t>
    </r>
    <phoneticPr fontId="43"/>
  </si>
  <si>
    <t>脱硫・ガスホルダ
含む</t>
    <rPh sb="0" eb="2">
      <t>ダツリュウ</t>
    </rPh>
    <rPh sb="9" eb="10">
      <t>フク</t>
    </rPh>
    <phoneticPr fontId="43"/>
  </si>
  <si>
    <r>
      <t>Y=0.516×Qd1</t>
    </r>
    <r>
      <rPr>
        <vertAlign val="superscript"/>
        <sz val="11"/>
        <color theme="1"/>
        <rFont val="ＭＳ Ｐゴシック"/>
        <family val="3"/>
        <charset val="128"/>
      </rPr>
      <t>0.385</t>
    </r>
    <r>
      <rPr>
        <sz val="11"/>
        <color theme="1"/>
        <rFont val="游ゴシック"/>
        <family val="2"/>
        <charset val="128"/>
        <scheme val="minor"/>
      </rPr>
      <t>×100</t>
    </r>
    <phoneticPr fontId="43"/>
  </si>
  <si>
    <r>
      <t>Y=0.169×Qd1</t>
    </r>
    <r>
      <rPr>
        <vertAlign val="superscript"/>
        <sz val="11"/>
        <color theme="1"/>
        <rFont val="ＭＳ Ｐゴシック"/>
        <family val="3"/>
        <charset val="128"/>
      </rPr>
      <t>0.539</t>
    </r>
    <r>
      <rPr>
        <sz val="11"/>
        <color theme="1"/>
        <rFont val="游ゴシック"/>
        <family val="2"/>
        <charset val="128"/>
        <scheme val="minor"/>
      </rPr>
      <t>×100</t>
    </r>
    <phoneticPr fontId="43"/>
  </si>
  <si>
    <t>脱硫</t>
    <rPh sb="0" eb="2">
      <t>ダツリュウ</t>
    </rPh>
    <phoneticPr fontId="43"/>
  </si>
  <si>
    <r>
      <t>Y=0.878×g</t>
    </r>
    <r>
      <rPr>
        <vertAlign val="superscript"/>
        <sz val="11"/>
        <color theme="1"/>
        <rFont val="ＭＳ Ｐゴシック"/>
        <family val="3"/>
        <charset val="128"/>
      </rPr>
      <t>0.761</t>
    </r>
    <phoneticPr fontId="43"/>
  </si>
  <si>
    <t>ガスホルダ</t>
    <phoneticPr fontId="43"/>
  </si>
  <si>
    <r>
      <t>Y=10.4×V</t>
    </r>
    <r>
      <rPr>
        <vertAlign val="superscript"/>
        <sz val="11"/>
        <color theme="1"/>
        <rFont val="ＭＳ Ｐゴシック"/>
        <family val="3"/>
        <charset val="128"/>
      </rPr>
      <t>0.437</t>
    </r>
    <phoneticPr fontId="43"/>
  </si>
  <si>
    <t>脱水／消化なし
（革新的技術との差分）</t>
    <rPh sb="0" eb="2">
      <t>ダッスイ</t>
    </rPh>
    <rPh sb="3" eb="5">
      <t>ショウカ</t>
    </rPh>
    <rPh sb="9" eb="14">
      <t>カクシンテキギジュツ</t>
    </rPh>
    <rPh sb="16" eb="17">
      <t>サ</t>
    </rPh>
    <rPh sb="17" eb="18">
      <t>ブン</t>
    </rPh>
    <phoneticPr fontId="43"/>
  </si>
  <si>
    <r>
      <t>Y=0.434×Qd2</t>
    </r>
    <r>
      <rPr>
        <vertAlign val="superscript"/>
        <sz val="11"/>
        <color theme="1"/>
        <rFont val="ＭＳ Ｐゴシック"/>
        <family val="3"/>
        <charset val="128"/>
      </rPr>
      <t>0.373</t>
    </r>
    <r>
      <rPr>
        <sz val="11"/>
        <color theme="1"/>
        <rFont val="游ゴシック"/>
        <family val="2"/>
        <charset val="128"/>
        <scheme val="minor"/>
      </rPr>
      <t>×100</t>
    </r>
    <phoneticPr fontId="43"/>
  </si>
  <si>
    <r>
      <t>Y=0.227×Qd2</t>
    </r>
    <r>
      <rPr>
        <vertAlign val="superscript"/>
        <sz val="11"/>
        <color theme="1"/>
        <rFont val="ＭＳ Ｐゴシック"/>
        <family val="3"/>
        <charset val="128"/>
      </rPr>
      <t>0.444</t>
    </r>
    <r>
      <rPr>
        <sz val="11"/>
        <color theme="1"/>
        <rFont val="游ゴシック"/>
        <family val="2"/>
        <charset val="128"/>
        <scheme val="minor"/>
      </rPr>
      <t>×100</t>
    </r>
    <phoneticPr fontId="43"/>
  </si>
  <si>
    <t>脱水／消化あり
（革新的技術との差分）</t>
    <rPh sb="0" eb="2">
      <t>ダッスイ</t>
    </rPh>
    <rPh sb="3" eb="5">
      <t>ショウカ</t>
    </rPh>
    <rPh sb="9" eb="14">
      <t>カクシンテキギジュツ</t>
    </rPh>
    <rPh sb="16" eb="17">
      <t>サ</t>
    </rPh>
    <rPh sb="17" eb="18">
      <t>ブン</t>
    </rPh>
    <phoneticPr fontId="43"/>
  </si>
  <si>
    <t>バイオガス発電</t>
    <rPh sb="5" eb="7">
      <t>ハツデン</t>
    </rPh>
    <phoneticPr fontId="43"/>
  </si>
  <si>
    <t>Y=1.3132x</t>
    <phoneticPr fontId="43"/>
  </si>
  <si>
    <t>下水汚泥エネルギー化技術ガイドライン</t>
    <rPh sb="0" eb="4">
      <t>ゲスイオデイ</t>
    </rPh>
    <rPh sb="9" eb="12">
      <t>カギジュツ</t>
    </rPh>
    <phoneticPr fontId="43"/>
  </si>
  <si>
    <t>Y=0.0263x＋5.8284</t>
    <phoneticPr fontId="43"/>
  </si>
  <si>
    <t>合計</t>
    <rPh sb="0" eb="2">
      <t>ゴウケイ</t>
    </rPh>
    <phoneticPr fontId="43"/>
  </si>
  <si>
    <t>総額</t>
    <rPh sb="0" eb="2">
      <t>ソウガク</t>
    </rPh>
    <phoneticPr fontId="43"/>
  </si>
  <si>
    <t>百万円</t>
    <rPh sb="0" eb="3">
      <t>ヒャクマンエン</t>
    </rPh>
    <phoneticPr fontId="43"/>
  </si>
  <si>
    <t>－</t>
    <phoneticPr fontId="43"/>
  </si>
  <si>
    <t>年価</t>
    <rPh sb="0" eb="1">
      <t>ネン</t>
    </rPh>
    <rPh sb="1" eb="2">
      <t>カ</t>
    </rPh>
    <phoneticPr fontId="43"/>
  </si>
  <si>
    <t>高濃度消化
（濃縮含む）</t>
    <rPh sb="0" eb="3">
      <t>コウノウド</t>
    </rPh>
    <rPh sb="3" eb="5">
      <t>ショウカ</t>
    </rPh>
    <rPh sb="7" eb="9">
      <t>ノウシュク</t>
    </rPh>
    <rPh sb="9" eb="10">
      <t>フク</t>
    </rPh>
    <phoneticPr fontId="43"/>
  </si>
  <si>
    <t>機械・電気（消化槽本体）</t>
    <rPh sb="0" eb="2">
      <t>キカイ</t>
    </rPh>
    <rPh sb="3" eb="5">
      <t>デンキ</t>
    </rPh>
    <rPh sb="6" eb="8">
      <t>ショウカ</t>
    </rPh>
    <rPh sb="8" eb="9">
      <t>ソウ</t>
    </rPh>
    <rPh sb="9" eb="11">
      <t>ホンタイ</t>
    </rPh>
    <phoneticPr fontId="43"/>
  </si>
  <si>
    <r>
      <t>Y=63.2Q1</t>
    </r>
    <r>
      <rPr>
        <vertAlign val="superscript"/>
        <sz val="11"/>
        <color theme="1"/>
        <rFont val="ＭＳ Ｐゴシック"/>
        <family val="3"/>
        <charset val="128"/>
      </rPr>
      <t>0.677</t>
    </r>
    <phoneticPr fontId="43"/>
  </si>
  <si>
    <t>機械・電気（消化槽本体以外）</t>
    <rPh sb="0" eb="2">
      <t>キカイ</t>
    </rPh>
    <rPh sb="3" eb="5">
      <t>デンキ</t>
    </rPh>
    <rPh sb="6" eb="8">
      <t>ショウカ</t>
    </rPh>
    <rPh sb="8" eb="9">
      <t>ソウ</t>
    </rPh>
    <rPh sb="9" eb="11">
      <t>ホンタイ</t>
    </rPh>
    <rPh sb="11" eb="13">
      <t>イガイ</t>
    </rPh>
    <phoneticPr fontId="43"/>
  </si>
  <si>
    <r>
      <t>Y=195.8Q1</t>
    </r>
    <r>
      <rPr>
        <vertAlign val="superscript"/>
        <sz val="11"/>
        <color theme="1"/>
        <rFont val="ＭＳ Ｐゴシック"/>
        <family val="3"/>
        <charset val="128"/>
      </rPr>
      <t>0.531</t>
    </r>
    <phoneticPr fontId="43"/>
  </si>
  <si>
    <t>土木（消化槽）</t>
    <rPh sb="0" eb="2">
      <t>ドボク</t>
    </rPh>
    <rPh sb="3" eb="5">
      <t>ショウカ</t>
    </rPh>
    <rPh sb="5" eb="6">
      <t>ソウ</t>
    </rPh>
    <phoneticPr fontId="43"/>
  </si>
  <si>
    <r>
      <t>Y=19.6Q1</t>
    </r>
    <r>
      <rPr>
        <vertAlign val="superscript"/>
        <sz val="11"/>
        <color theme="1"/>
        <rFont val="ＭＳ Ｐゴシック"/>
        <family val="3"/>
        <charset val="128"/>
      </rPr>
      <t>0.586</t>
    </r>
    <phoneticPr fontId="43"/>
  </si>
  <si>
    <t>土木（消化槽以外）</t>
    <rPh sb="0" eb="2">
      <t>ドボク</t>
    </rPh>
    <rPh sb="3" eb="5">
      <t>ショウカ</t>
    </rPh>
    <rPh sb="5" eb="6">
      <t>ソウ</t>
    </rPh>
    <rPh sb="6" eb="8">
      <t>イガイ</t>
    </rPh>
    <phoneticPr fontId="43"/>
  </si>
  <si>
    <r>
      <t>Y=28.2Q1</t>
    </r>
    <r>
      <rPr>
        <vertAlign val="superscript"/>
        <sz val="11"/>
        <color theme="1"/>
        <rFont val="ＭＳ Ｐゴシック"/>
        <family val="3"/>
        <charset val="128"/>
      </rPr>
      <t>0.569</t>
    </r>
    <phoneticPr fontId="43"/>
  </si>
  <si>
    <t>省エネ型
バイオガス精製</t>
    <rPh sb="0" eb="1">
      <t>ショウ</t>
    </rPh>
    <rPh sb="3" eb="4">
      <t>ガタ</t>
    </rPh>
    <rPh sb="10" eb="12">
      <t>セイセイ</t>
    </rPh>
    <phoneticPr fontId="43"/>
  </si>
  <si>
    <r>
      <t>Y=39.6Q2</t>
    </r>
    <r>
      <rPr>
        <vertAlign val="superscript"/>
        <sz val="11"/>
        <color theme="1"/>
        <rFont val="ＭＳ Ｐゴシック"/>
        <family val="3"/>
        <charset val="128"/>
      </rPr>
      <t>0.255</t>
    </r>
    <phoneticPr fontId="43"/>
  </si>
  <si>
    <r>
      <t>Y=4.3Q2</t>
    </r>
    <r>
      <rPr>
        <vertAlign val="superscript"/>
        <sz val="11"/>
        <color theme="1"/>
        <rFont val="ＭＳ Ｐゴシック"/>
        <family val="3"/>
        <charset val="128"/>
      </rPr>
      <t>0.265</t>
    </r>
    <phoneticPr fontId="43"/>
  </si>
  <si>
    <t>小規模
水素製造・供給</t>
    <rPh sb="0" eb="3">
      <t>ショウキボ</t>
    </rPh>
    <rPh sb="4" eb="8">
      <t>スイソセイゾウ</t>
    </rPh>
    <rPh sb="9" eb="11">
      <t>キョウキュウ</t>
    </rPh>
    <phoneticPr fontId="43"/>
  </si>
  <si>
    <t>Y=271.8</t>
    <phoneticPr fontId="43"/>
  </si>
  <si>
    <t>Y=13.7</t>
    <phoneticPr fontId="43"/>
  </si>
  <si>
    <r>
      <t>Y=3.6Q2</t>
    </r>
    <r>
      <rPr>
        <vertAlign val="superscript"/>
        <sz val="11"/>
        <color theme="1"/>
        <rFont val="ＭＳ Ｐゴシック"/>
        <family val="3"/>
        <charset val="128"/>
      </rPr>
      <t>0.505</t>
    </r>
    <phoneticPr fontId="43"/>
  </si>
  <si>
    <r>
      <t>Y=0.219Q2</t>
    </r>
    <r>
      <rPr>
        <vertAlign val="superscript"/>
        <sz val="11"/>
        <color theme="1"/>
        <rFont val="ＭＳ Ｐゴシック"/>
        <family val="3"/>
        <charset val="128"/>
      </rPr>
      <t>0.596</t>
    </r>
    <phoneticPr fontId="43"/>
  </si>
  <si>
    <t>維持管理費</t>
    <rPh sb="0" eb="2">
      <t>イジ</t>
    </rPh>
    <rPh sb="2" eb="4">
      <t>カンリ</t>
    </rPh>
    <rPh sb="4" eb="5">
      <t>ヒ</t>
    </rPh>
    <phoneticPr fontId="43"/>
  </si>
  <si>
    <t>維持管理費</t>
    <rPh sb="0" eb="2">
      <t>イジ</t>
    </rPh>
    <rPh sb="2" eb="5">
      <t>カンリヒ</t>
    </rPh>
    <phoneticPr fontId="43"/>
  </si>
  <si>
    <r>
      <t>Y=0.030×（0.5×Qd0）</t>
    </r>
    <r>
      <rPr>
        <vertAlign val="superscript"/>
        <sz val="11"/>
        <color theme="1"/>
        <rFont val="ＭＳ Ｐゴシック"/>
        <family val="3"/>
        <charset val="128"/>
      </rPr>
      <t>0.628</t>
    </r>
    <phoneticPr fontId="43"/>
  </si>
  <si>
    <t>下水汚泥広域利活用検討マニュアル</t>
    <rPh sb="0" eb="11">
      <t>ゲスイオデイコウイキリカツヨウケントウ</t>
    </rPh>
    <phoneticPr fontId="43"/>
  </si>
  <si>
    <r>
      <t>Y=0.661×（0.5×Qd0）</t>
    </r>
    <r>
      <rPr>
        <vertAlign val="superscript"/>
        <sz val="11"/>
        <color theme="1"/>
        <rFont val="ＭＳ Ｐゴシック"/>
        <family val="3"/>
        <charset val="128"/>
      </rPr>
      <t>0.573</t>
    </r>
    <phoneticPr fontId="43"/>
  </si>
  <si>
    <t>脱硫・ガスホルダ含む</t>
    <rPh sb="0" eb="2">
      <t>ダツリュウ</t>
    </rPh>
    <rPh sb="8" eb="9">
      <t>フク</t>
    </rPh>
    <phoneticPr fontId="43"/>
  </si>
  <si>
    <r>
      <t>Y=0.171×（Qd1×365×0.8）</t>
    </r>
    <r>
      <rPr>
        <vertAlign val="superscript"/>
        <sz val="11"/>
        <color theme="1"/>
        <rFont val="ＭＳ Ｐゴシック"/>
        <family val="3"/>
        <charset val="128"/>
      </rPr>
      <t>0.390</t>
    </r>
    <phoneticPr fontId="43"/>
  </si>
  <si>
    <r>
      <t>Y=0.0796×g</t>
    </r>
    <r>
      <rPr>
        <vertAlign val="superscript"/>
        <sz val="11"/>
        <color theme="1"/>
        <rFont val="ＭＳ Ｐゴシック"/>
        <family val="3"/>
        <charset val="128"/>
      </rPr>
      <t>0.761</t>
    </r>
    <phoneticPr fontId="43"/>
  </si>
  <si>
    <r>
      <t>Y=0.283×V</t>
    </r>
    <r>
      <rPr>
        <vertAlign val="superscript"/>
        <sz val="11"/>
        <color theme="1"/>
        <rFont val="ＭＳ Ｐゴシック"/>
        <family val="3"/>
        <charset val="128"/>
      </rPr>
      <t>0.302</t>
    </r>
    <phoneticPr fontId="43"/>
  </si>
  <si>
    <t>脱水／消化なし（革新的技術との差分）</t>
    <rPh sb="0" eb="2">
      <t>ダッスイ</t>
    </rPh>
    <rPh sb="3" eb="5">
      <t>ショウカ</t>
    </rPh>
    <rPh sb="8" eb="13">
      <t>カクシンテキギジュツ</t>
    </rPh>
    <rPh sb="15" eb="16">
      <t>サ</t>
    </rPh>
    <rPh sb="16" eb="17">
      <t>ブン</t>
    </rPh>
    <phoneticPr fontId="43"/>
  </si>
  <si>
    <r>
      <t>Y=0.039×（Qd2×365×0.8）</t>
    </r>
    <r>
      <rPr>
        <vertAlign val="superscript"/>
        <sz val="11"/>
        <color theme="1"/>
        <rFont val="ＭＳ Ｐゴシック"/>
        <family val="3"/>
        <charset val="128"/>
      </rPr>
      <t>0.596</t>
    </r>
    <phoneticPr fontId="43"/>
  </si>
  <si>
    <t>下水汚泥広域利活用検討マニュアル</t>
    <phoneticPr fontId="43"/>
  </si>
  <si>
    <t>脱水／消化あり（革新的技術との差分）</t>
    <rPh sb="0" eb="2">
      <t>ダッスイ</t>
    </rPh>
    <rPh sb="3" eb="5">
      <t>ショウカ</t>
    </rPh>
    <rPh sb="8" eb="13">
      <t>カクシンテキギジュツ</t>
    </rPh>
    <rPh sb="15" eb="16">
      <t>サ</t>
    </rPh>
    <rPh sb="16" eb="17">
      <t>ブン</t>
    </rPh>
    <phoneticPr fontId="43"/>
  </si>
  <si>
    <t>脱水汚泥処分費／消化なし
（革新的技術との差分）</t>
    <rPh sb="0" eb="2">
      <t>ダッスイ</t>
    </rPh>
    <rPh sb="2" eb="4">
      <t>オデイ</t>
    </rPh>
    <rPh sb="4" eb="6">
      <t>ショブン</t>
    </rPh>
    <rPh sb="6" eb="7">
      <t>ヒ</t>
    </rPh>
    <rPh sb="8" eb="10">
      <t>ショウカ</t>
    </rPh>
    <rPh sb="14" eb="19">
      <t>カクシンテキギジュツ</t>
    </rPh>
    <rPh sb="21" eb="22">
      <t>サ</t>
    </rPh>
    <rPh sb="22" eb="23">
      <t>ブン</t>
    </rPh>
    <phoneticPr fontId="43"/>
  </si>
  <si>
    <r>
      <t>Y=1/(100－W）×（Qd2×0.9×365
×0.8）×F/10</t>
    </r>
    <r>
      <rPr>
        <vertAlign val="superscript"/>
        <sz val="11"/>
        <color theme="1"/>
        <rFont val="ＭＳ Ｐゴシック"/>
        <family val="3"/>
        <charset val="128"/>
      </rPr>
      <t>6</t>
    </r>
    <phoneticPr fontId="43"/>
  </si>
  <si>
    <t>W：脱水汚泥含水率（％）
　　諸元値【試算条件】欄を参照
革新的技術ではポリ硫酸第二鉄添加による脱水汚泥固形物量増を考慮</t>
    <rPh sb="2" eb="4">
      <t>ダッスイ</t>
    </rPh>
    <rPh sb="4" eb="6">
      <t>オデイ</t>
    </rPh>
    <rPh sb="6" eb="8">
      <t>ガンスイ</t>
    </rPh>
    <rPh sb="8" eb="9">
      <t>リツ</t>
    </rPh>
    <rPh sb="15" eb="17">
      <t>ショゲン</t>
    </rPh>
    <rPh sb="17" eb="18">
      <t>チ</t>
    </rPh>
    <rPh sb="19" eb="21">
      <t>シサン</t>
    </rPh>
    <rPh sb="21" eb="23">
      <t>ジョウケン</t>
    </rPh>
    <rPh sb="24" eb="25">
      <t>ラン</t>
    </rPh>
    <rPh sb="26" eb="28">
      <t>サンショウ</t>
    </rPh>
    <rPh sb="30" eb="35">
      <t>カクシンテキギジュツ</t>
    </rPh>
    <rPh sb="39" eb="44">
      <t>リュウサンダイニテツ</t>
    </rPh>
    <rPh sb="44" eb="46">
      <t>テンカ</t>
    </rPh>
    <rPh sb="49" eb="51">
      <t>ダッスイ</t>
    </rPh>
    <rPh sb="51" eb="53">
      <t>オデイ</t>
    </rPh>
    <rPh sb="53" eb="56">
      <t>コケイブツ</t>
    </rPh>
    <rPh sb="56" eb="57">
      <t>リョウ</t>
    </rPh>
    <rPh sb="57" eb="58">
      <t>ゾウ</t>
    </rPh>
    <rPh sb="59" eb="61">
      <t>コウリョ</t>
    </rPh>
    <phoneticPr fontId="43"/>
  </si>
  <si>
    <t>脱水汚泥処分費／消化あり
（革新的技術との差分）</t>
    <rPh sb="0" eb="2">
      <t>ダッスイ</t>
    </rPh>
    <rPh sb="2" eb="4">
      <t>オデイ</t>
    </rPh>
    <rPh sb="4" eb="6">
      <t>ショブン</t>
    </rPh>
    <rPh sb="6" eb="7">
      <t>ヒ</t>
    </rPh>
    <rPh sb="8" eb="10">
      <t>ショウカ</t>
    </rPh>
    <rPh sb="14" eb="19">
      <t>カクシンテキギジュツ</t>
    </rPh>
    <rPh sb="21" eb="22">
      <t>サ</t>
    </rPh>
    <rPh sb="22" eb="23">
      <t>ブン</t>
    </rPh>
    <phoneticPr fontId="43"/>
  </si>
  <si>
    <t>Y=0.0579x</t>
    <phoneticPr fontId="43"/>
  </si>
  <si>
    <t>バイオガス発電　電力費縮減額</t>
    <rPh sb="5" eb="7">
      <t>ハツデン</t>
    </rPh>
    <rPh sb="8" eb="10">
      <t>デンリョク</t>
    </rPh>
    <rPh sb="10" eb="11">
      <t>ヒ</t>
    </rPh>
    <rPh sb="11" eb="13">
      <t>シュクゲン</t>
    </rPh>
    <rPh sb="13" eb="14">
      <t>ガク</t>
    </rPh>
    <phoneticPr fontId="43"/>
  </si>
  <si>
    <r>
      <t>Y=Qd1/100×0.8×0.8×500
×21.5×0.32×0.9/3.6×355×16.5/10</t>
    </r>
    <r>
      <rPr>
        <vertAlign val="superscript"/>
        <sz val="10"/>
        <color theme="1"/>
        <rFont val="ＭＳ Ｐゴシック"/>
        <family val="3"/>
        <charset val="128"/>
      </rPr>
      <t>6</t>
    </r>
    <phoneticPr fontId="43"/>
  </si>
  <si>
    <t>共通</t>
    <rPh sb="0" eb="2">
      <t>キョウツウ</t>
    </rPh>
    <phoneticPr fontId="43"/>
  </si>
  <si>
    <t>重力濃縮</t>
    <rPh sb="0" eb="4">
      <t>ジュウリョクノウシュク</t>
    </rPh>
    <phoneticPr fontId="43"/>
  </si>
  <si>
    <r>
      <t>Y=0.35Q1</t>
    </r>
    <r>
      <rPr>
        <vertAlign val="superscript"/>
        <sz val="11"/>
        <color theme="1"/>
        <rFont val="ＭＳ Ｐゴシック"/>
        <family val="3"/>
        <charset val="128"/>
      </rPr>
      <t>0.628</t>
    </r>
    <phoneticPr fontId="43"/>
  </si>
  <si>
    <t>電力費</t>
    <rPh sb="0" eb="2">
      <t>デンリョク</t>
    </rPh>
    <rPh sb="2" eb="3">
      <t>ヒ</t>
    </rPh>
    <phoneticPr fontId="43"/>
  </si>
  <si>
    <r>
      <t>Y=0.73Q1</t>
    </r>
    <r>
      <rPr>
        <vertAlign val="superscript"/>
        <sz val="11"/>
        <color theme="1"/>
        <rFont val="ＭＳ Ｐゴシック"/>
        <family val="3"/>
        <charset val="128"/>
      </rPr>
      <t>0.887</t>
    </r>
    <r>
      <rPr>
        <sz val="11"/>
        <color theme="1"/>
        <rFont val="游ゴシック"/>
        <family val="2"/>
        <charset val="128"/>
        <scheme val="minor"/>
      </rPr>
      <t>×（A/16.5）</t>
    </r>
    <phoneticPr fontId="43"/>
  </si>
  <si>
    <t>薬品費</t>
    <rPh sb="0" eb="2">
      <t>ヤクヒン</t>
    </rPh>
    <rPh sb="2" eb="3">
      <t>ヒ</t>
    </rPh>
    <phoneticPr fontId="43"/>
  </si>
  <si>
    <t>Y=0.58Q1×（B/566）＋1.51Q1×（D/38.9）</t>
    <phoneticPr fontId="43"/>
  </si>
  <si>
    <t>補修費</t>
    <rPh sb="0" eb="2">
      <t>ホシュウ</t>
    </rPh>
    <rPh sb="2" eb="3">
      <t>ヒ</t>
    </rPh>
    <phoneticPr fontId="43"/>
  </si>
  <si>
    <r>
      <t>Y=2.7Q1</t>
    </r>
    <r>
      <rPr>
        <vertAlign val="superscript"/>
        <sz val="11"/>
        <color theme="1"/>
        <rFont val="ＭＳ Ｐゴシック"/>
        <family val="3"/>
        <charset val="128"/>
      </rPr>
      <t>0.509</t>
    </r>
    <phoneticPr fontId="43"/>
  </si>
  <si>
    <t>Y=7.0×（E/7.0）</t>
    <phoneticPr fontId="43"/>
  </si>
  <si>
    <r>
      <t>Y=0.62Q2</t>
    </r>
    <r>
      <rPr>
        <vertAlign val="superscript"/>
        <sz val="11"/>
        <color theme="1"/>
        <rFont val="ＭＳ Ｐゴシック"/>
        <family val="3"/>
        <charset val="128"/>
      </rPr>
      <t>0.285</t>
    </r>
    <r>
      <rPr>
        <sz val="11"/>
        <color theme="1"/>
        <rFont val="游ゴシック"/>
        <family val="2"/>
        <charset val="128"/>
        <scheme val="minor"/>
      </rPr>
      <t>×（A/16.5）</t>
    </r>
    <phoneticPr fontId="43"/>
  </si>
  <si>
    <t>上水費</t>
    <rPh sb="0" eb="2">
      <t>ジョウスイ</t>
    </rPh>
    <rPh sb="2" eb="3">
      <t>ヒ</t>
    </rPh>
    <phoneticPr fontId="43"/>
  </si>
  <si>
    <t>Y=4.3×（C/309.1）</t>
    <phoneticPr fontId="43"/>
  </si>
  <si>
    <r>
      <t>Y=1.9Q2</t>
    </r>
    <r>
      <rPr>
        <vertAlign val="superscript"/>
        <sz val="11"/>
        <color theme="1"/>
        <rFont val="ＭＳ Ｐゴシック"/>
        <family val="3"/>
        <charset val="128"/>
      </rPr>
      <t>0.195</t>
    </r>
    <phoneticPr fontId="43"/>
  </si>
  <si>
    <r>
      <t>Y=0.026Q2</t>
    </r>
    <r>
      <rPr>
        <vertAlign val="superscript"/>
        <sz val="11"/>
        <color theme="1"/>
        <rFont val="ＭＳ Ｐゴシック"/>
        <family val="3"/>
        <charset val="128"/>
      </rPr>
      <t>0.771</t>
    </r>
    <phoneticPr fontId="43"/>
  </si>
  <si>
    <t>電力費縮減</t>
    <rPh sb="0" eb="2">
      <t>デンリョク</t>
    </rPh>
    <rPh sb="2" eb="3">
      <t>ヒ</t>
    </rPh>
    <rPh sb="3" eb="5">
      <t>シュクゲン</t>
    </rPh>
    <phoneticPr fontId="43"/>
  </si>
  <si>
    <t>Y=0.0092Q2×（A/16.5）</t>
    <phoneticPr fontId="43"/>
  </si>
  <si>
    <t>電力費縮減</t>
    <rPh sb="0" eb="5">
      <t>デンリョクヒシュクゲン</t>
    </rPh>
    <phoneticPr fontId="43"/>
  </si>
  <si>
    <r>
      <t>Y=0.0087Q2</t>
    </r>
    <r>
      <rPr>
        <vertAlign val="superscript"/>
        <sz val="11"/>
        <color theme="1"/>
        <rFont val="ＭＳ Ｐゴシック"/>
        <family val="3"/>
        <charset val="128"/>
      </rPr>
      <t>1.007</t>
    </r>
    <r>
      <rPr>
        <sz val="11"/>
        <color theme="1"/>
        <rFont val="游ゴシック"/>
        <family val="2"/>
        <charset val="128"/>
        <scheme val="minor"/>
      </rPr>
      <t>×（A/16.5）</t>
    </r>
    <phoneticPr fontId="43"/>
  </si>
  <si>
    <t>Y=1.0×（A/16.5）</t>
    <phoneticPr fontId="43"/>
  </si>
  <si>
    <t>Y=0.0055×（C/309.1）</t>
    <phoneticPr fontId="43"/>
  </si>
  <si>
    <t>Y=8.4</t>
    <phoneticPr fontId="43"/>
  </si>
  <si>
    <t>薬品費は高濃度濃縮工程のみ計上</t>
    <rPh sb="0" eb="2">
      <t>ヤクヒン</t>
    </rPh>
    <rPh sb="2" eb="3">
      <t>ヒ</t>
    </rPh>
    <rPh sb="4" eb="7">
      <t>コウノウド</t>
    </rPh>
    <rPh sb="7" eb="9">
      <t>ノウシュク</t>
    </rPh>
    <rPh sb="9" eb="11">
      <t>コウテイ</t>
    </rPh>
    <rPh sb="13" eb="15">
      <t>ケイジョウ</t>
    </rPh>
    <phoneticPr fontId="43"/>
  </si>
  <si>
    <t>エネルギー収支（創出量－消費量）</t>
    <rPh sb="5" eb="7">
      <t>シュウシ</t>
    </rPh>
    <rPh sb="8" eb="10">
      <t>ソウシュツ</t>
    </rPh>
    <rPh sb="10" eb="11">
      <t>リョウ</t>
    </rPh>
    <rPh sb="12" eb="15">
      <t>ショウヒリョウ</t>
    </rPh>
    <phoneticPr fontId="43"/>
  </si>
  <si>
    <t>エネルギー収支</t>
    <rPh sb="5" eb="7">
      <t>シュウシ</t>
    </rPh>
    <phoneticPr fontId="43"/>
  </si>
  <si>
    <t>Y=7×（0.5×Qd0×0.8）×0.01×9.484×365/1000</t>
    <phoneticPr fontId="43"/>
  </si>
  <si>
    <t>下水道革新的技術実証事業説明書
（平成30年度）</t>
    <rPh sb="0" eb="8">
      <t>ゲスイドウカクシンテキギジュツ</t>
    </rPh>
    <rPh sb="8" eb="10">
      <t>ジッショウ</t>
    </rPh>
    <rPh sb="10" eb="12">
      <t>ジギョウ</t>
    </rPh>
    <rPh sb="12" eb="15">
      <t>セツメイショ</t>
    </rPh>
    <rPh sb="17" eb="19">
      <t>ヘイセイ</t>
    </rPh>
    <rPh sb="21" eb="23">
      <t>ネンド</t>
    </rPh>
    <phoneticPr fontId="43"/>
  </si>
  <si>
    <t>Y=212×（0.5×Qd0×0.8）×0.01×9.484×365/1000</t>
    <phoneticPr fontId="43"/>
  </si>
  <si>
    <t>Y=5.3×（Qd1*0.8/3.3）×9.484×365/1000</t>
    <phoneticPr fontId="43"/>
  </si>
  <si>
    <t>消化槽投入汚泥濃度3.3%
下水汚泥エネルギー化技術ガイドライン</t>
    <rPh sb="0" eb="2">
      <t>ショウカ</t>
    </rPh>
    <rPh sb="2" eb="3">
      <t>ソウ</t>
    </rPh>
    <rPh sb="3" eb="5">
      <t>トウニュウ</t>
    </rPh>
    <rPh sb="5" eb="7">
      <t>オデイ</t>
    </rPh>
    <rPh sb="7" eb="9">
      <t>ノウド</t>
    </rPh>
    <rPh sb="14" eb="18">
      <t>ゲスイオデイ</t>
    </rPh>
    <rPh sb="23" eb="26">
      <t>カギジュツ</t>
    </rPh>
    <phoneticPr fontId="43"/>
  </si>
  <si>
    <t>脱水
（革新的技術との差分）</t>
    <rPh sb="0" eb="2">
      <t>ダッスイ</t>
    </rPh>
    <rPh sb="4" eb="9">
      <t>カクシンテキギジュツ</t>
    </rPh>
    <rPh sb="11" eb="12">
      <t>サ</t>
    </rPh>
    <rPh sb="12" eb="13">
      <t>ブン</t>
    </rPh>
    <phoneticPr fontId="43"/>
  </si>
  <si>
    <r>
      <t>直接脱水：
Y=1575.4×（Qd2/100×0.8×365）</t>
    </r>
    <r>
      <rPr>
        <vertAlign val="superscript"/>
        <sz val="8"/>
        <color theme="1"/>
        <rFont val="ＭＳ Ｐゴシック"/>
        <family val="3"/>
        <charset val="128"/>
      </rPr>
      <t>0.6723</t>
    </r>
    <r>
      <rPr>
        <sz val="8"/>
        <color theme="1"/>
        <rFont val="ＭＳ Ｐゴシック"/>
        <family val="3"/>
        <charset val="128"/>
      </rPr>
      <t>×9.484/1000
消化脱水：
Y=62.631×（Qd2/100×0.8×365）</t>
    </r>
    <r>
      <rPr>
        <vertAlign val="superscript"/>
        <sz val="8"/>
        <color theme="1"/>
        <rFont val="ＭＳ Ｐゴシック"/>
        <family val="3"/>
        <charset val="128"/>
      </rPr>
      <t>1.2091</t>
    </r>
    <r>
      <rPr>
        <sz val="8"/>
        <color theme="1"/>
        <rFont val="ＭＳ Ｐゴシック"/>
        <family val="3"/>
        <charset val="128"/>
      </rPr>
      <t>×9.484/1000</t>
    </r>
    <rPh sb="0" eb="2">
      <t>チョクセツ</t>
    </rPh>
    <rPh sb="2" eb="4">
      <t>ダッスイ</t>
    </rPh>
    <rPh sb="50" eb="52">
      <t>ショウカ</t>
    </rPh>
    <rPh sb="52" eb="54">
      <t>ダッスイ</t>
    </rPh>
    <phoneticPr fontId="43"/>
  </si>
  <si>
    <t>Y=Qd1/100×0.8×0.8×500×21.5
×0.32×0.9/3.6×355×9.484/1000</t>
    <phoneticPr fontId="43"/>
  </si>
  <si>
    <t>消費量</t>
    <rPh sb="0" eb="3">
      <t>ショウヒリョウ</t>
    </rPh>
    <phoneticPr fontId="43"/>
  </si>
  <si>
    <t>高濃度消化</t>
    <rPh sb="0" eb="5">
      <t>コウノウドショウカ</t>
    </rPh>
    <phoneticPr fontId="43"/>
  </si>
  <si>
    <r>
      <t>Y=428Q1</t>
    </r>
    <r>
      <rPr>
        <vertAlign val="superscript"/>
        <sz val="11"/>
        <color theme="1"/>
        <rFont val="ＭＳ Ｐゴシック"/>
        <family val="3"/>
        <charset val="128"/>
      </rPr>
      <t>0.889</t>
    </r>
    <phoneticPr fontId="43"/>
  </si>
  <si>
    <t>省エネ型バイオガス精製</t>
    <rPh sb="0" eb="1">
      <t>ショウ</t>
    </rPh>
    <rPh sb="3" eb="4">
      <t>ガタ</t>
    </rPh>
    <rPh sb="9" eb="11">
      <t>セイセイ</t>
    </rPh>
    <phoneticPr fontId="43"/>
  </si>
  <si>
    <r>
      <t>Y=359Q2</t>
    </r>
    <r>
      <rPr>
        <vertAlign val="superscript"/>
        <sz val="11"/>
        <color theme="1"/>
        <rFont val="ＭＳ Ｐゴシック"/>
        <family val="3"/>
        <charset val="128"/>
      </rPr>
      <t>0.285</t>
    </r>
    <phoneticPr fontId="43"/>
  </si>
  <si>
    <t>創出量</t>
    <rPh sb="0" eb="2">
      <t>ソウシュツ</t>
    </rPh>
    <rPh sb="2" eb="3">
      <t>リョウ</t>
    </rPh>
    <phoneticPr fontId="43"/>
  </si>
  <si>
    <t>Y=5.3Q2</t>
    <phoneticPr fontId="43"/>
  </si>
  <si>
    <t>小規模水素製造・供給</t>
    <rPh sb="0" eb="7">
      <t>ショウキボスイソセイゾウ</t>
    </rPh>
    <rPh sb="8" eb="10">
      <t>キョウキュウ</t>
    </rPh>
    <phoneticPr fontId="43"/>
  </si>
  <si>
    <t>Y=562</t>
    <phoneticPr fontId="43"/>
  </si>
  <si>
    <t>創出量</t>
    <rPh sb="0" eb="3">
      <t>ソウシュツリョウ</t>
    </rPh>
    <phoneticPr fontId="43"/>
  </si>
  <si>
    <r>
      <t>Y=5.0Q2</t>
    </r>
    <r>
      <rPr>
        <vertAlign val="superscript"/>
        <sz val="11"/>
        <color theme="1"/>
        <rFont val="ＭＳ Ｐゴシック"/>
        <family val="3"/>
        <charset val="128"/>
      </rPr>
      <t>1.007</t>
    </r>
    <phoneticPr fontId="43"/>
  </si>
  <si>
    <t>水素供給</t>
    <rPh sb="0" eb="2">
      <t>スイソ</t>
    </rPh>
    <rPh sb="2" eb="4">
      <t>キョウキュウ</t>
    </rPh>
    <phoneticPr fontId="43"/>
  </si>
  <si>
    <t>Y=65.8</t>
    <phoneticPr fontId="43"/>
  </si>
  <si>
    <t>温室効果ガス収支（排出量－排出削減量）</t>
    <rPh sb="0" eb="2">
      <t>オンシツ</t>
    </rPh>
    <rPh sb="2" eb="4">
      <t>コウカ</t>
    </rPh>
    <rPh sb="6" eb="8">
      <t>シュウシ</t>
    </rPh>
    <rPh sb="9" eb="11">
      <t>ハイシュツ</t>
    </rPh>
    <rPh sb="11" eb="12">
      <t>リョウ</t>
    </rPh>
    <rPh sb="13" eb="15">
      <t>ハイシュツ</t>
    </rPh>
    <rPh sb="15" eb="17">
      <t>サクゲン</t>
    </rPh>
    <rPh sb="17" eb="18">
      <t>リョウ</t>
    </rPh>
    <phoneticPr fontId="43"/>
  </si>
  <si>
    <r>
      <t>CO</t>
    </r>
    <r>
      <rPr>
        <vertAlign val="subscript"/>
        <sz val="11"/>
        <color theme="1"/>
        <rFont val="ＭＳ Ｐゴシック"/>
        <family val="3"/>
        <charset val="128"/>
      </rPr>
      <t>2</t>
    </r>
    <r>
      <rPr>
        <sz val="11"/>
        <color theme="1"/>
        <rFont val="游ゴシック"/>
        <family val="2"/>
        <charset val="128"/>
        <scheme val="minor"/>
      </rPr>
      <t>収支</t>
    </r>
    <rPh sb="3" eb="5">
      <t>シュウシ</t>
    </rPh>
    <phoneticPr fontId="43"/>
  </si>
  <si>
    <t>排出</t>
    <rPh sb="0" eb="2">
      <t>ハイシュツ</t>
    </rPh>
    <phoneticPr fontId="43"/>
  </si>
  <si>
    <t>Y=エネルギー消費量[GJ/年]
/9.484×1000×a</t>
    <rPh sb="7" eb="10">
      <t>ショウヒリョウ</t>
    </rPh>
    <rPh sb="14" eb="15">
      <t>ネン</t>
    </rPh>
    <phoneticPr fontId="43"/>
  </si>
  <si>
    <t>高分子凝集剤</t>
    <rPh sb="0" eb="3">
      <t>コウブンシ</t>
    </rPh>
    <rPh sb="3" eb="5">
      <t>ギョウシュウ</t>
    </rPh>
    <rPh sb="5" eb="6">
      <t>ザイ</t>
    </rPh>
    <phoneticPr fontId="43"/>
  </si>
  <si>
    <t>Y=（Qd0/100×0.8×0.5×0.3/100
＋Qd2/100×0.8×1.2/100）×365×b</t>
    <phoneticPr fontId="43"/>
  </si>
  <si>
    <t>Y=Qd1/100×0.8×0.8×500/600000×355×e</t>
    <phoneticPr fontId="43"/>
  </si>
  <si>
    <t>排出削減</t>
    <rPh sb="0" eb="2">
      <t>ハイシュツ</t>
    </rPh>
    <rPh sb="2" eb="4">
      <t>サクゲン</t>
    </rPh>
    <phoneticPr fontId="43"/>
  </si>
  <si>
    <t>Y=発電量[GJ/年]/9.484×1000×a</t>
    <rPh sb="2" eb="4">
      <t>ハツデン</t>
    </rPh>
    <rPh sb="4" eb="5">
      <t>リョウ</t>
    </rPh>
    <rPh sb="9" eb="10">
      <t>ネン</t>
    </rPh>
    <phoneticPr fontId="43"/>
  </si>
  <si>
    <t>高分子凝集剤は機械濃縮工程のみ計上</t>
    <rPh sb="0" eb="6">
      <t>コウブンシギョウシュウザイ</t>
    </rPh>
    <rPh sb="7" eb="9">
      <t>キカイ</t>
    </rPh>
    <rPh sb="9" eb="11">
      <t>ノウシュク</t>
    </rPh>
    <rPh sb="11" eb="13">
      <t>コウテイ</t>
    </rPh>
    <rPh sb="15" eb="17">
      <t>ケイジョウ</t>
    </rPh>
    <phoneticPr fontId="43"/>
  </si>
  <si>
    <r>
      <t>Y=110.3Q1</t>
    </r>
    <r>
      <rPr>
        <vertAlign val="superscript"/>
        <sz val="11"/>
        <color theme="1"/>
        <rFont val="ＭＳ Ｐゴシック"/>
        <family val="3"/>
        <charset val="128"/>
      </rPr>
      <t>0.513</t>
    </r>
    <r>
      <rPr>
        <sz val="11"/>
        <color theme="1"/>
        <rFont val="游ゴシック"/>
        <family val="2"/>
        <charset val="128"/>
        <scheme val="minor"/>
      </rPr>
      <t>×（a/0.000488）</t>
    </r>
    <phoneticPr fontId="43"/>
  </si>
  <si>
    <t>Y=27.6×（c/0.0020）</t>
    <phoneticPr fontId="43"/>
  </si>
  <si>
    <t>Y=21.8Q1×（b/6.5）</t>
    <phoneticPr fontId="43"/>
  </si>
  <si>
    <t>ポリ硫酸第二鉄</t>
    <rPh sb="2" eb="4">
      <t>リュウサン</t>
    </rPh>
    <rPh sb="4" eb="7">
      <t>ダイニテツ</t>
    </rPh>
    <phoneticPr fontId="43"/>
  </si>
  <si>
    <t>Y=1.2Q1×（d/0.0308）</t>
    <phoneticPr fontId="43"/>
  </si>
  <si>
    <r>
      <t>Y=0.037Q1</t>
    </r>
    <r>
      <rPr>
        <vertAlign val="superscript"/>
        <sz val="11"/>
        <color theme="1"/>
        <rFont val="ＭＳ Ｐゴシック"/>
        <family val="3"/>
        <charset val="128"/>
      </rPr>
      <t>1.031</t>
    </r>
    <r>
      <rPr>
        <sz val="11"/>
        <color theme="1"/>
        <rFont val="游ゴシック"/>
        <family val="2"/>
        <charset val="128"/>
        <scheme val="minor"/>
      </rPr>
      <t>×（e/0.26）</t>
    </r>
    <phoneticPr fontId="43"/>
  </si>
  <si>
    <t>Y=103.9Q1×（a/0.000488）</t>
    <phoneticPr fontId="43"/>
  </si>
  <si>
    <r>
      <t>Y=133.8Q1</t>
    </r>
    <r>
      <rPr>
        <vertAlign val="superscript"/>
        <sz val="11"/>
        <color theme="1"/>
        <rFont val="ＭＳ Ｐゴシック"/>
        <family val="3"/>
        <charset val="128"/>
      </rPr>
      <t>0.462</t>
    </r>
    <r>
      <rPr>
        <sz val="11"/>
        <color theme="1"/>
        <rFont val="游ゴシック"/>
        <family val="2"/>
        <charset val="128"/>
        <scheme val="minor"/>
      </rPr>
      <t>×（a/0.000488）</t>
    </r>
    <phoneticPr fontId="43"/>
  </si>
  <si>
    <t>排出削減</t>
    <rPh sb="0" eb="4">
      <t>ハイシュツサクゲン</t>
    </rPh>
    <phoneticPr fontId="43"/>
  </si>
  <si>
    <t>Y=4.5×（f/2.32）</t>
    <phoneticPr fontId="43"/>
  </si>
  <si>
    <r>
      <t>Y=101.9Q1</t>
    </r>
    <r>
      <rPr>
        <vertAlign val="superscript"/>
        <sz val="11"/>
        <color theme="1"/>
        <rFont val="ＭＳ Ｐゴシック"/>
        <family val="3"/>
        <charset val="128"/>
      </rPr>
      <t>1.007</t>
    </r>
    <r>
      <rPr>
        <sz val="11"/>
        <color theme="1"/>
        <rFont val="游ゴシック"/>
        <family val="2"/>
        <charset val="128"/>
        <scheme val="minor"/>
      </rPr>
      <t>×（a/0.000488）</t>
    </r>
    <phoneticPr fontId="43"/>
  </si>
  <si>
    <t>高分子凝集剤は高濃度濃縮工程のみ計上</t>
    <rPh sb="0" eb="6">
      <t>コウブンシギョウシュウザイ</t>
    </rPh>
    <rPh sb="7" eb="10">
      <t>コウノウド</t>
    </rPh>
    <rPh sb="10" eb="12">
      <t>ノウシュク</t>
    </rPh>
    <rPh sb="12" eb="14">
      <t>コウテイ</t>
    </rPh>
    <rPh sb="16" eb="18">
      <t>ケイジョウ</t>
    </rPh>
    <phoneticPr fontId="43"/>
  </si>
  <si>
    <t>・削減効果出典元 「小規模処理場を対象とした低コスト・省エネルギー型高濃度メタン発酵技術に関する実証事業」ガイドライン p48より</t>
    <rPh sb="1" eb="5">
      <t>サクゲンコウカ</t>
    </rPh>
    <rPh sb="5" eb="8">
      <t>シュッテンモト</t>
    </rPh>
    <phoneticPr fontId="2"/>
  </si>
  <si>
    <t>従来技術</t>
    <rPh sb="0" eb="2">
      <t>ジュウライ</t>
    </rPh>
    <rPh sb="2" eb="4">
      <t>ギジュツ</t>
    </rPh>
    <phoneticPr fontId="2"/>
  </si>
  <si>
    <t>本技術</t>
    <rPh sb="0" eb="3">
      <t>ホンギジュツ</t>
    </rPh>
    <phoneticPr fontId="2"/>
  </si>
  <si>
    <t>削減率(%)</t>
    <rPh sb="0" eb="3">
      <t>サクゲンリツ</t>
    </rPh>
    <phoneticPr fontId="2"/>
  </si>
  <si>
    <t>総計(t-CO₂/年)</t>
    <rPh sb="0" eb="2">
      <t>ソウケイ</t>
    </rPh>
    <rPh sb="4" eb="5">
      <t>ネン</t>
    </rPh>
    <phoneticPr fontId="2"/>
  </si>
  <si>
    <t>従来
消化なし</t>
    <rPh sb="0" eb="2">
      <t>ジュウライ</t>
    </rPh>
    <rPh sb="3" eb="5">
      <t>ショウカ</t>
    </rPh>
    <phoneticPr fontId="2"/>
  </si>
  <si>
    <t>従来
消化あり</t>
    <rPh sb="0" eb="2">
      <t>ジュウライ</t>
    </rPh>
    <rPh sb="3" eb="5">
      <t>ショウカ</t>
    </rPh>
    <phoneticPr fontId="2"/>
  </si>
  <si>
    <t>検討技術の詳細は「小規模処理場を対象とした低コスト・省エネルギー型高濃度メタン発酵技術に関する実証事業」を参照してください</t>
    <rPh sb="0" eb="2">
      <t>ケントウ</t>
    </rPh>
    <rPh sb="2" eb="4">
      <t>ギジュツ</t>
    </rPh>
    <rPh sb="5" eb="7">
      <t>ショウサイ</t>
    </rPh>
    <rPh sb="53" eb="55">
      <t>サンショウ</t>
    </rPh>
    <phoneticPr fontId="2"/>
  </si>
  <si>
    <t>濃縮設備、消化設備、機械脱水設備</t>
    <rPh sb="0" eb="2">
      <t>ノウシュク</t>
    </rPh>
    <rPh sb="2" eb="4">
      <t>セツビ</t>
    </rPh>
    <rPh sb="5" eb="7">
      <t>ショウカ</t>
    </rPh>
    <rPh sb="7" eb="9">
      <t>セツビ</t>
    </rPh>
    <rPh sb="10" eb="12">
      <t>キカイ</t>
    </rPh>
    <rPh sb="12" eb="14">
      <t>ダッスイ</t>
    </rPh>
    <rPh sb="14" eb="16">
      <t>セツビ</t>
    </rPh>
    <phoneticPr fontId="2"/>
  </si>
  <si>
    <t>【B－DASH】高濃度消化・省エネ型バイオガス精製による効率的エネルギー利活用技術</t>
    <phoneticPr fontId="2"/>
  </si>
  <si>
    <t>日平均汚水量 20,000m³/日以上の処理場</t>
    <rPh sb="0" eb="3">
      <t>ニチヘイキン</t>
    </rPh>
    <rPh sb="3" eb="6">
      <t>オスイリョウ</t>
    </rPh>
    <rPh sb="16" eb="17">
      <t>ニチ</t>
    </rPh>
    <rPh sb="17" eb="19">
      <t>イジョウ</t>
    </rPh>
    <rPh sb="20" eb="23">
      <t>ショリジョウ</t>
    </rPh>
    <phoneticPr fontId="2"/>
  </si>
  <si>
    <t>検討技術の詳細は「 高濃度消化・省エネ型バイオガス精製による効率的エネルギー利活用技術に関する実証事業」を参照してください</t>
    <rPh sb="0" eb="2">
      <t>ケントウ</t>
    </rPh>
    <rPh sb="2" eb="4">
      <t>ギジュツ</t>
    </rPh>
    <rPh sb="5" eb="7">
      <t>ショウサイ</t>
    </rPh>
    <rPh sb="53" eb="55">
      <t>サンショウ</t>
    </rPh>
    <phoneticPr fontId="2"/>
  </si>
  <si>
    <t>以降の計算シートは「高濃度消化・省エネ型バイオガス精製による効率的エネルギー利活用技術に関する実証事業」における技術導入効果計算シートの転載になります。</t>
    <rPh sb="0" eb="2">
      <t>イコウ</t>
    </rPh>
    <rPh sb="3" eb="5">
      <t>ケイサン</t>
    </rPh>
    <rPh sb="56" eb="58">
      <t>ギジュツ</t>
    </rPh>
    <rPh sb="58" eb="60">
      <t>ドウニュウ</t>
    </rPh>
    <rPh sb="60" eb="62">
      <t>コウカ</t>
    </rPh>
    <rPh sb="62" eb="64">
      <t>ケイサン</t>
    </rPh>
    <rPh sb="68" eb="70">
      <t>テンサイ</t>
    </rPh>
    <phoneticPr fontId="2"/>
  </si>
  <si>
    <t>費用を算出する場合入力</t>
    <rPh sb="3" eb="5">
      <t>サンシュツ</t>
    </rPh>
    <rPh sb="7" eb="9">
      <t>バアイ</t>
    </rPh>
    <rPh sb="9" eb="11">
      <t>ニュウリョク</t>
    </rPh>
    <phoneticPr fontId="2"/>
  </si>
  <si>
    <t>※下記「算定結果」より、適合する条件の従来技術及び革新的技術の「CO2収支」の差を入力して下さい。</t>
    <rPh sb="1" eb="3">
      <t>カキ</t>
    </rPh>
    <rPh sb="12" eb="14">
      <t>テキゴウ</t>
    </rPh>
    <rPh sb="16" eb="18">
      <t>ジョウケン</t>
    </rPh>
    <rPh sb="19" eb="21">
      <t>ジュウライ</t>
    </rPh>
    <rPh sb="21" eb="23">
      <t>ギジュツ</t>
    </rPh>
    <rPh sb="23" eb="24">
      <t>オヨ</t>
    </rPh>
    <rPh sb="25" eb="28">
      <t>カクシンテキ</t>
    </rPh>
    <rPh sb="28" eb="30">
      <t>ギジュツ</t>
    </rPh>
    <rPh sb="39" eb="40">
      <t>サ</t>
    </rPh>
    <rPh sb="41" eb="43">
      <t>ニュウリョク</t>
    </rPh>
    <rPh sb="45" eb="46">
      <t>クダ</t>
    </rPh>
    <phoneticPr fontId="2"/>
  </si>
  <si>
    <r>
      <t>CO</t>
    </r>
    <r>
      <rPr>
        <vertAlign val="subscript"/>
        <sz val="11"/>
        <color theme="1"/>
        <rFont val="ＭＳ Ｐゴシック"/>
        <family val="3"/>
        <charset val="128"/>
      </rPr>
      <t>2</t>
    </r>
    <r>
      <rPr>
        <sz val="11"/>
        <color theme="1"/>
        <rFont val="游ゴシック"/>
        <family val="2"/>
        <charset val="128"/>
        <scheme val="minor"/>
      </rPr>
      <t>収支
（排出量－排出削減量）</t>
    </r>
    <rPh sb="3" eb="5">
      <t>シュウシ</t>
    </rPh>
    <rPh sb="7" eb="9">
      <t>ハイシュツ</t>
    </rPh>
    <rPh sb="9" eb="10">
      <t>リョウ</t>
    </rPh>
    <rPh sb="11" eb="13">
      <t>ハイシュツ</t>
    </rPh>
    <rPh sb="13" eb="15">
      <t>サクゲン</t>
    </rPh>
    <rPh sb="15" eb="16">
      <t>リョウ</t>
    </rPh>
    <phoneticPr fontId="43"/>
  </si>
  <si>
    <r>
      <t>t-CO</t>
    </r>
    <r>
      <rPr>
        <vertAlign val="subscript"/>
        <sz val="11"/>
        <color theme="1"/>
        <rFont val="ＭＳ Ｐゴシック"/>
        <family val="3"/>
        <charset val="128"/>
      </rPr>
      <t>2</t>
    </r>
    <r>
      <rPr>
        <sz val="11"/>
        <color theme="1"/>
        <rFont val="游ゴシック"/>
        <family val="2"/>
        <charset val="128"/>
        <scheme val="minor"/>
      </rPr>
      <t>/年</t>
    </r>
    <rPh sb="6" eb="7">
      <t>ネン</t>
    </rPh>
    <phoneticPr fontId="43"/>
  </si>
  <si>
    <t>　費用を算出する場合非表示になっている131~216を再表示させて下さい</t>
    <rPh sb="1" eb="3">
      <t>ヒヨウ</t>
    </rPh>
    <rPh sb="4" eb="6">
      <t>サンシュツ</t>
    </rPh>
    <rPh sb="8" eb="10">
      <t>バアイ</t>
    </rPh>
    <rPh sb="10" eb="13">
      <t>ヒヒョウジ</t>
    </rPh>
    <rPh sb="27" eb="28">
      <t>サイ</t>
    </rPh>
    <rPh sb="28" eb="30">
      <t>ヒョウジ</t>
    </rPh>
    <rPh sb="33" eb="34">
      <t>クダ</t>
    </rPh>
    <phoneticPr fontId="2"/>
  </si>
  <si>
    <t>濃縮設備</t>
    <rPh sb="0" eb="2">
      <t>ノウシュク</t>
    </rPh>
    <rPh sb="2" eb="4">
      <t>セツビ</t>
    </rPh>
    <phoneticPr fontId="2"/>
  </si>
  <si>
    <t>　下記に必要事項の入力をお願いします。</t>
    <rPh sb="1" eb="3">
      <t>カキ</t>
    </rPh>
    <rPh sb="4" eb="8">
      <t>ヒツヨウジコウ</t>
    </rPh>
    <rPh sb="9" eb="11">
      <t>ニュウリョク</t>
    </rPh>
    <rPh sb="13" eb="14">
      <t>ネガ</t>
    </rPh>
    <phoneticPr fontId="5"/>
  </si>
  <si>
    <t>クリックで対策シートに戻る</t>
    <rPh sb="5" eb="7">
      <t>タイサク</t>
    </rPh>
    <rPh sb="11" eb="12">
      <t>モド</t>
    </rPh>
    <phoneticPr fontId="2"/>
  </si>
  <si>
    <t>・本技術のイメージ</t>
    <rPh sb="1" eb="4">
      <t>ホンギジュツ</t>
    </rPh>
    <phoneticPr fontId="2"/>
  </si>
  <si>
    <t>オキシデーションディッチ法の省エネ技術に関する技術資料より」</t>
    <phoneticPr fontId="2"/>
  </si>
  <si>
    <t>※本技術の削減効果は汚泥埋立の削減分も見込んでいる。</t>
    <rPh sb="1" eb="4">
      <t>ホンギジュツ</t>
    </rPh>
    <rPh sb="5" eb="9">
      <t>サクゲンコウカ</t>
    </rPh>
    <rPh sb="10" eb="12">
      <t>オデイ</t>
    </rPh>
    <rPh sb="12" eb="14">
      <t>ウメタテ</t>
    </rPh>
    <rPh sb="15" eb="18">
      <t>サクゲンブン</t>
    </rPh>
    <rPh sb="19" eb="21">
      <t>ミコ</t>
    </rPh>
    <phoneticPr fontId="2"/>
  </si>
  <si>
    <t>https://www.mlit.go.jp/mizukokudo/sewerage/mizukokudo_sewerage_tk_000364.html</t>
    <phoneticPr fontId="2"/>
  </si>
  <si>
    <t>適応条件</t>
    <rPh sb="0" eb="4">
      <t>テキオウジョウケン</t>
    </rPh>
    <phoneticPr fontId="2"/>
  </si>
  <si>
    <t>・バイオマス受入れを含め、汚泥のエネルギー利用を進めたい下水処理場
・最初沈殿池の更新と合わせ、施設のコンパクト化・耐震化を図りたい下水処理場
・水処理・汚泥処理の全体で省エネを図りたい下水処理場
・合流改善やSSO 改善をして、環境改善を図りたい下水処理場</t>
    <phoneticPr fontId="2"/>
  </si>
  <si>
    <t>・活性汚泥を用いた下水処理方式で、好気タンクを有すること。
・アンモニア性窒素に対して明確な処理目標があること。
・風量制御が可能であること。</t>
    <phoneticPr fontId="2"/>
  </si>
  <si>
    <t>・計画放流水質が、BOD：10～15mg/Lの区分で、窒素・りん除去を目的とする高度処理を必要としない下水処理場
・標準活性汚泥法等の既存施設の改造、ならびに水処理施設の新設または増設に適用可能。</t>
    <phoneticPr fontId="2"/>
  </si>
  <si>
    <t>・ 計画放流水質がBODで10 mg/Lを超え、15 mg/L以下の区分である下水処理場
・ 流入下水の温度：最低月15℃以上
・ 標準法の代替　（高度処理 （N、P除去） は不可※）
　※ 高度処理を必要とする下水処理場において、その一部系列に本技術を適用することは可能
・ 既設改造、新設ともに対応可能</t>
    <phoneticPr fontId="2"/>
  </si>
  <si>
    <t>・脱水設備、焼却設備の新設および更新、既存の遠心脱水機、気泡流動炉の改造の際に導入可能
・低空気比省エネ燃焼技術に加えて、脱水あるいは発電設備を導入することで、連携/最適化が機能する。</t>
    <phoneticPr fontId="2"/>
  </si>
  <si>
    <t>・遠心脱水機が設置可能　
・焼却灰の処分先または有効利用先が確保可能　
・ ろ過水量が確保可能（蒸気発電機冷却水として）
　　⇒汚泥1t-DS/日当たり6～8m3/h程度　ろ過水水温は概ね15～30℃の範囲
・焼却規模
　　⇒概ね10t-DS/日以上（1.5t/h以上の蒸気量）</t>
    <phoneticPr fontId="2"/>
  </si>
  <si>
    <t>・焼却規模 60wet-t/日（約16ds-t/日）以上
・焼却炉形式が流動床式であり、二段燃焼およびそれに類する設備を保有していないこと
・脱水汚泥含水率が85％未満
・下水処理水の利用が可能であること</t>
    <phoneticPr fontId="2"/>
  </si>
  <si>
    <t>・初沈汚泥が発生する水処理方式（最初沈殿池を備える）であること。
・本技術全体を導入する場合、流入下水量が日最大20,000m3/日以上であること。</t>
    <phoneticPr fontId="2"/>
  </si>
  <si>
    <t>・流入比率が低い処理場</t>
    <rPh sb="1" eb="3">
      <t>リュウニュウ</t>
    </rPh>
    <rPh sb="3" eb="5">
      <t>ヒリツ</t>
    </rPh>
    <rPh sb="6" eb="7">
      <t>ヒク</t>
    </rPh>
    <rPh sb="8" eb="11">
      <t>ショリジョウ</t>
    </rPh>
    <phoneticPr fontId="2"/>
  </si>
  <si>
    <t>・自動制御を行っていない処理場</t>
    <rPh sb="1" eb="5">
      <t>ジドウセイギョ</t>
    </rPh>
    <rPh sb="6" eb="7">
      <t>オコナ</t>
    </rPh>
    <rPh sb="12" eb="15">
      <t>ショリジョウ</t>
    </rPh>
    <phoneticPr fontId="2"/>
  </si>
  <si>
    <t>・散気板、散気筒など酸素移動効率の悪い散気装置を使用している処理場</t>
    <rPh sb="1" eb="4">
      <t>サンキバン</t>
    </rPh>
    <rPh sb="5" eb="7">
      <t>サンキ</t>
    </rPh>
    <rPh sb="7" eb="8">
      <t>ツツ</t>
    </rPh>
    <rPh sb="10" eb="16">
      <t>サンソイドウコウリツ</t>
    </rPh>
    <rPh sb="17" eb="18">
      <t>ワル</t>
    </rPh>
    <rPh sb="19" eb="23">
      <t>サンキソウチ</t>
    </rPh>
    <rPh sb="24" eb="26">
      <t>シヨウ</t>
    </rPh>
    <rPh sb="30" eb="33">
      <t>ショリジョウ</t>
    </rPh>
    <phoneticPr fontId="2"/>
  </si>
  <si>
    <t>・省エネ型でない撹拌機を使用している処理場</t>
    <rPh sb="1" eb="2">
      <t>ショウ</t>
    </rPh>
    <rPh sb="4" eb="5">
      <t>ガタ</t>
    </rPh>
    <rPh sb="8" eb="11">
      <t>カクハンキ</t>
    </rPh>
    <rPh sb="12" eb="14">
      <t>シヨウ</t>
    </rPh>
    <rPh sb="18" eb="21">
      <t>ショリジョウ</t>
    </rPh>
    <phoneticPr fontId="2"/>
  </si>
  <si>
    <t>・従来型の多段ターボブロアを使用している処理場</t>
    <rPh sb="1" eb="3">
      <t>ジュウライ</t>
    </rPh>
    <rPh sb="3" eb="4">
      <t>ガタ</t>
    </rPh>
    <rPh sb="5" eb="7">
      <t>タダン</t>
    </rPh>
    <rPh sb="14" eb="16">
      <t>シヨウ</t>
    </rPh>
    <rPh sb="20" eb="23">
      <t>ショリジョウ</t>
    </rPh>
    <phoneticPr fontId="2"/>
  </si>
  <si>
    <t>・遠心濃縮機などの効率の悪い機械濃縮機を使用している処理場</t>
    <rPh sb="1" eb="3">
      <t>エンシン</t>
    </rPh>
    <rPh sb="3" eb="6">
      <t>ノウシュクキ</t>
    </rPh>
    <rPh sb="9" eb="11">
      <t>コウリツ</t>
    </rPh>
    <rPh sb="12" eb="13">
      <t>ワル</t>
    </rPh>
    <rPh sb="14" eb="16">
      <t>キカイ</t>
    </rPh>
    <rPh sb="16" eb="19">
      <t>ノウシュクキ</t>
    </rPh>
    <rPh sb="20" eb="22">
      <t>シヨウ</t>
    </rPh>
    <rPh sb="26" eb="29">
      <t>ショリジョウ</t>
    </rPh>
    <phoneticPr fontId="2"/>
  </si>
  <si>
    <t>・消化設備の無い処理場</t>
    <rPh sb="1" eb="3">
      <t>ショウカ</t>
    </rPh>
    <rPh sb="3" eb="5">
      <t>セツビ</t>
    </rPh>
    <rPh sb="6" eb="7">
      <t>ナ</t>
    </rPh>
    <rPh sb="8" eb="11">
      <t>ショリジョウ</t>
    </rPh>
    <phoneticPr fontId="2"/>
  </si>
  <si>
    <t>・遠心脱水機などの効率の悪い機械脱水機を使用している処理場</t>
    <rPh sb="1" eb="3">
      <t>エンシン</t>
    </rPh>
    <rPh sb="3" eb="5">
      <t>ダッスイ</t>
    </rPh>
    <rPh sb="5" eb="6">
      <t>キ</t>
    </rPh>
    <rPh sb="9" eb="11">
      <t>コウリツ</t>
    </rPh>
    <rPh sb="12" eb="13">
      <t>ワル</t>
    </rPh>
    <rPh sb="14" eb="16">
      <t>キカイ</t>
    </rPh>
    <rPh sb="16" eb="18">
      <t>ダッスイ</t>
    </rPh>
    <rPh sb="18" eb="19">
      <t>キ</t>
    </rPh>
    <rPh sb="20" eb="22">
      <t>シヨウ</t>
    </rPh>
    <rPh sb="26" eb="29">
      <t>ショリジョウ</t>
    </rPh>
    <phoneticPr fontId="2"/>
  </si>
  <si>
    <t>・固形燃料化設備の無い処理場</t>
    <rPh sb="1" eb="6">
      <t>コケイネンリョウカ</t>
    </rPh>
    <rPh sb="6" eb="8">
      <t>セツビ</t>
    </rPh>
    <rPh sb="9" eb="10">
      <t>ナ</t>
    </rPh>
    <rPh sb="11" eb="14">
      <t>ショリジョウ</t>
    </rPh>
    <phoneticPr fontId="2"/>
  </si>
  <si>
    <t>・標準法、OD法で、設計指針に示された条件の範囲で運転してい処理場
・脱水機の運転時間に余裕があり、濃縮・脱水運転の切替え運用が可能であること
・消化設備、発電設備の設置スペースを未利用用地等に確保できること</t>
    <rPh sb="1" eb="4">
      <t>ヒョウジュンホウ</t>
    </rPh>
    <rPh sb="7" eb="8">
      <t>ホウ</t>
    </rPh>
    <rPh sb="10" eb="12">
      <t>セッケイ</t>
    </rPh>
    <rPh sb="12" eb="14">
      <t>シシン</t>
    </rPh>
    <rPh sb="15" eb="16">
      <t>シメ</t>
    </rPh>
    <rPh sb="19" eb="21">
      <t>ジョウケン</t>
    </rPh>
    <rPh sb="22" eb="24">
      <t>ハンイ</t>
    </rPh>
    <rPh sb="25" eb="27">
      <t>ウンテン</t>
    </rPh>
    <rPh sb="30" eb="33">
      <t>ショリジョウ</t>
    </rPh>
    <rPh sb="35" eb="37">
      <t>ダッスイ</t>
    </rPh>
    <rPh sb="37" eb="38">
      <t>キ</t>
    </rPh>
    <rPh sb="39" eb="43">
      <t>ウンテンジカン</t>
    </rPh>
    <rPh sb="44" eb="46">
      <t>ヨユウ</t>
    </rPh>
    <rPh sb="50" eb="52">
      <t>ノウシュク</t>
    </rPh>
    <rPh sb="53" eb="55">
      <t>ダッスイ</t>
    </rPh>
    <rPh sb="55" eb="57">
      <t>ウンテン</t>
    </rPh>
    <rPh sb="58" eb="60">
      <t>キリカエ</t>
    </rPh>
    <rPh sb="61" eb="63">
      <t>ウンヨウ</t>
    </rPh>
    <rPh sb="64" eb="66">
      <t>カノウ</t>
    </rPh>
    <rPh sb="73" eb="75">
      <t>ショウカ</t>
    </rPh>
    <rPh sb="75" eb="77">
      <t>セツビ</t>
    </rPh>
    <rPh sb="78" eb="80">
      <t>ハツデン</t>
    </rPh>
    <rPh sb="80" eb="82">
      <t>セツビ</t>
    </rPh>
    <rPh sb="83" eb="85">
      <t>セッチ</t>
    </rPh>
    <rPh sb="90" eb="93">
      <t>ミリヨウ</t>
    </rPh>
    <rPh sb="93" eb="95">
      <t>ヨウチ</t>
    </rPh>
    <rPh sb="95" eb="96">
      <t>トウ</t>
    </rPh>
    <rPh sb="97" eb="99">
      <t>カクホ</t>
    </rPh>
    <phoneticPr fontId="2"/>
  </si>
  <si>
    <t>処理施設全体の消費電力量</t>
    <rPh sb="7" eb="11">
      <t>ショウヒデンリョク</t>
    </rPh>
    <rPh sb="11" eb="12">
      <t>リョウ</t>
    </rPh>
    <phoneticPr fontId="2"/>
  </si>
  <si>
    <t>燃料
(処理施設全体)</t>
    <rPh sb="0" eb="2">
      <t>ネンリョウ</t>
    </rPh>
    <phoneticPr fontId="2"/>
  </si>
  <si>
    <t>2018年実績値</t>
    <rPh sb="4" eb="5">
      <t>ネン</t>
    </rPh>
    <rPh sb="5" eb="8">
      <t>ジッセキチ</t>
    </rPh>
    <phoneticPr fontId="5"/>
  </si>
  <si>
    <t>当該処理場のエネルギー消費にかかる温室効果ガス排出量を算出する。</t>
    <rPh sb="0" eb="2">
      <t>トウガイ</t>
    </rPh>
    <rPh sb="2" eb="4">
      <t>ショリ</t>
    </rPh>
    <rPh sb="4" eb="5">
      <t>ジョウ</t>
    </rPh>
    <rPh sb="11" eb="13">
      <t>ショウヒ</t>
    </rPh>
    <rPh sb="17" eb="19">
      <t>オンシツ</t>
    </rPh>
    <rPh sb="19" eb="21">
      <t>コウカ</t>
    </rPh>
    <rPh sb="23" eb="25">
      <t>ハイシュツ</t>
    </rPh>
    <rPh sb="25" eb="26">
      <t>リョウ</t>
    </rPh>
    <rPh sb="27" eb="29">
      <t>サンシュツ</t>
    </rPh>
    <phoneticPr fontId="5"/>
  </si>
  <si>
    <t>2018年エネルギー消費にかかる温室効果ガス排出量</t>
    <rPh sb="10" eb="12">
      <t>ショウヒ</t>
    </rPh>
    <phoneticPr fontId="5"/>
  </si>
  <si>
    <t>・追加対策リスト</t>
    <rPh sb="1" eb="3">
      <t>ツイカ</t>
    </rPh>
    <rPh sb="3" eb="5">
      <t>タイサク</t>
    </rPh>
    <phoneticPr fontId="2"/>
  </si>
  <si>
    <t>　　対策リストに無い対策を行う場合下記に内容や削減量の記入をお願いします。</t>
    <rPh sb="2" eb="4">
      <t>タイサク</t>
    </rPh>
    <rPh sb="8" eb="9">
      <t>ナ</t>
    </rPh>
    <rPh sb="10" eb="12">
      <t>タイサク</t>
    </rPh>
    <rPh sb="13" eb="14">
      <t>オコナ</t>
    </rPh>
    <rPh sb="15" eb="17">
      <t>バアイ</t>
    </rPh>
    <rPh sb="17" eb="19">
      <t>カキ</t>
    </rPh>
    <rPh sb="20" eb="22">
      <t>ナイヨウ</t>
    </rPh>
    <rPh sb="23" eb="26">
      <t>サクゲンリョウ</t>
    </rPh>
    <rPh sb="27" eb="29">
      <t>キニュウ</t>
    </rPh>
    <rPh sb="31" eb="32">
      <t>ネガ</t>
    </rPh>
    <phoneticPr fontId="2"/>
  </si>
  <si>
    <t>対策No.10</t>
  </si>
  <si>
    <t>LOG10
(処理水量[m³/日])</t>
    <phoneticPr fontId="2"/>
  </si>
  <si>
    <t>現状の温室効果ガス排出量
(2018年実績)</t>
    <rPh sb="0" eb="2">
      <t>ゲンジョウ</t>
    </rPh>
    <rPh sb="3" eb="7">
      <t>オンシツコウカ</t>
    </rPh>
    <rPh sb="9" eb="12">
      <t>ハイシュツリョウ</t>
    </rPh>
    <rPh sb="18" eb="19">
      <t>ネン</t>
    </rPh>
    <rPh sb="19" eb="21">
      <t>ジッセキ</t>
    </rPh>
    <phoneticPr fontId="2"/>
  </si>
  <si>
    <t>対策の寄与率
(削減量/現状の総排出量)</t>
    <rPh sb="0" eb="2">
      <t>タイサク</t>
    </rPh>
    <rPh sb="3" eb="6">
      <t>キヨリツ</t>
    </rPh>
    <rPh sb="8" eb="11">
      <t>サクゲンリョウ</t>
    </rPh>
    <rPh sb="12" eb="14">
      <t>ゲンジョウ</t>
    </rPh>
    <rPh sb="15" eb="16">
      <t>ソウ</t>
    </rPh>
    <rPh sb="16" eb="19">
      <t>ハイシュツリョウ</t>
    </rPh>
    <phoneticPr fontId="2"/>
  </si>
  <si>
    <t>各対策の合計値</t>
    <phoneticPr fontId="2"/>
  </si>
  <si>
    <t>各対策の合計値</t>
    <rPh sb="0" eb="1">
      <t>カク</t>
    </rPh>
    <rPh sb="1" eb="3">
      <t>タイサク</t>
    </rPh>
    <rPh sb="4" eb="6">
      <t>ゴウケイ</t>
    </rPh>
    <rPh sb="6" eb="7">
      <t>チ</t>
    </rPh>
    <phoneticPr fontId="2"/>
  </si>
  <si>
    <t>温室効果ガス排出量
(t-CO₂/年)</t>
    <phoneticPr fontId="2"/>
  </si>
  <si>
    <t>現状の排出量
(2018年実績)</t>
    <rPh sb="3" eb="6">
      <t>ハイシュツリョウ</t>
    </rPh>
    <rPh sb="12" eb="13">
      <t>ネン</t>
    </rPh>
    <rPh sb="13" eb="15">
      <t>ジッセキ</t>
    </rPh>
    <phoneticPr fontId="2"/>
  </si>
  <si>
    <t>その他
(必要に応じて記入)</t>
    <rPh sb="2" eb="3">
      <t>タ</t>
    </rPh>
    <rPh sb="5" eb="7">
      <t>ヒツヨウ</t>
    </rPh>
    <rPh sb="8" eb="9">
      <t>オウ</t>
    </rPh>
    <rPh sb="11" eb="13">
      <t>キニュウ</t>
    </rPh>
    <phoneticPr fontId="5"/>
  </si>
  <si>
    <t xml:space="preserve"> 混合油(草刈り用燃料)</t>
    <rPh sb="1" eb="3">
      <t>コンゴウ</t>
    </rPh>
    <rPh sb="3" eb="4">
      <t>アブラ</t>
    </rPh>
    <rPh sb="5" eb="7">
      <t>クサカ</t>
    </rPh>
    <rPh sb="8" eb="9">
      <t>ヨウ</t>
    </rPh>
    <rPh sb="9" eb="11">
      <t>ネンリョウ</t>
    </rPh>
    <phoneticPr fontId="5"/>
  </si>
  <si>
    <r>
      <t>下記に</t>
    </r>
    <r>
      <rPr>
        <b/>
        <sz val="11"/>
        <color rgb="FFFF0000"/>
        <rFont val="游ゴシック"/>
        <family val="3"/>
        <charset val="128"/>
        <scheme val="minor"/>
      </rPr>
      <t>2018年</t>
    </r>
    <r>
      <rPr>
        <b/>
        <sz val="11"/>
        <color theme="1"/>
        <rFont val="游ゴシック"/>
        <family val="3"/>
        <charset val="128"/>
        <scheme val="minor"/>
      </rPr>
      <t>の実績値の記入をお願いします。</t>
    </r>
    <rPh sb="0" eb="2">
      <t>カキ</t>
    </rPh>
    <rPh sb="7" eb="8">
      <t>ネン</t>
    </rPh>
    <rPh sb="9" eb="12">
      <t>ジッセキチ</t>
    </rPh>
    <rPh sb="13" eb="15">
      <t>キニュウ</t>
    </rPh>
    <rPh sb="17" eb="18">
      <t>ネガ</t>
    </rPh>
    <phoneticPr fontId="5"/>
  </si>
  <si>
    <t>当該処理場の処理プロセスからの温室効果ガス排出量を算出する。</t>
    <rPh sb="0" eb="2">
      <t>トウガイ</t>
    </rPh>
    <rPh sb="2" eb="4">
      <t>ショリ</t>
    </rPh>
    <rPh sb="4" eb="5">
      <t>ジョウ</t>
    </rPh>
    <rPh sb="6" eb="8">
      <t>ショリ</t>
    </rPh>
    <rPh sb="15" eb="17">
      <t>オンシツ</t>
    </rPh>
    <rPh sb="17" eb="19">
      <t>コウカ</t>
    </rPh>
    <rPh sb="21" eb="23">
      <t>ハイシュツ</t>
    </rPh>
    <rPh sb="23" eb="24">
      <t>リョウ</t>
    </rPh>
    <rPh sb="25" eb="27">
      <t>サンシュツ</t>
    </rPh>
    <phoneticPr fontId="5"/>
  </si>
  <si>
    <t>処理量等</t>
    <rPh sb="0" eb="3">
      <t>ショリリョウ</t>
    </rPh>
    <rPh sb="3" eb="4">
      <t>トウ</t>
    </rPh>
    <phoneticPr fontId="5"/>
  </si>
  <si>
    <t>下水の処理</t>
    <rPh sb="0" eb="2">
      <t>ゲスイ</t>
    </rPh>
    <rPh sb="3" eb="5">
      <t>ショリ</t>
    </rPh>
    <phoneticPr fontId="2"/>
  </si>
  <si>
    <t>標準活性汚泥法</t>
    <rPh sb="0" eb="2">
      <t>ヒョウジュン</t>
    </rPh>
    <rPh sb="2" eb="4">
      <t>カッセイ</t>
    </rPh>
    <rPh sb="4" eb="7">
      <t>オデイホウ</t>
    </rPh>
    <phoneticPr fontId="2"/>
  </si>
  <si>
    <t>嫌気好気活性汚泥法</t>
    <rPh sb="0" eb="2">
      <t>ケンキ</t>
    </rPh>
    <rPh sb="2" eb="4">
      <t>コウキ</t>
    </rPh>
    <rPh sb="4" eb="6">
      <t>カッセイ</t>
    </rPh>
    <rPh sb="6" eb="9">
      <t>オデイホウ</t>
    </rPh>
    <phoneticPr fontId="2"/>
  </si>
  <si>
    <t>嫌気無酸素好気法及び循環式硝化脱窒法等</t>
    <rPh sb="0" eb="2">
      <t>ケンキ</t>
    </rPh>
    <rPh sb="2" eb="5">
      <t>ムサンソ</t>
    </rPh>
    <rPh sb="5" eb="8">
      <t>コウキホウ</t>
    </rPh>
    <rPh sb="8" eb="9">
      <t>オヨ</t>
    </rPh>
    <rPh sb="10" eb="13">
      <t>ジュンカンシキ</t>
    </rPh>
    <rPh sb="13" eb="15">
      <t>ショウカ</t>
    </rPh>
    <rPh sb="15" eb="17">
      <t>ダッチツ</t>
    </rPh>
    <rPh sb="17" eb="18">
      <t>ホウ</t>
    </rPh>
    <rPh sb="18" eb="19">
      <t>トウ</t>
    </rPh>
    <phoneticPr fontId="2"/>
  </si>
  <si>
    <t>年間処理水量</t>
    <rPh sb="0" eb="2">
      <t>ネンカン</t>
    </rPh>
    <rPh sb="2" eb="6">
      <t>ショリスイリョウ</t>
    </rPh>
    <phoneticPr fontId="2"/>
  </si>
  <si>
    <t>千m³/年</t>
    <rPh sb="0" eb="1">
      <t>セン</t>
    </rPh>
    <rPh sb="4" eb="5">
      <t>ネン</t>
    </rPh>
    <phoneticPr fontId="2"/>
  </si>
  <si>
    <t xml:space="preserve"> t-N₂O/千m³</t>
    <rPh sb="7" eb="8">
      <t>セン</t>
    </rPh>
    <phoneticPr fontId="2"/>
  </si>
  <si>
    <t>循環式硝化脱窒型膜分離活性汚泥法</t>
    <rPh sb="0" eb="3">
      <t>ジュンカンシキ</t>
    </rPh>
    <rPh sb="3" eb="5">
      <t>ショウカ</t>
    </rPh>
    <rPh sb="5" eb="7">
      <t>ダッチツ</t>
    </rPh>
    <rPh sb="7" eb="8">
      <t>ガタ</t>
    </rPh>
    <rPh sb="8" eb="11">
      <t>マクブンリ</t>
    </rPh>
    <rPh sb="11" eb="13">
      <t>カッセイ</t>
    </rPh>
    <rPh sb="13" eb="16">
      <t>オデイホウ</t>
    </rPh>
    <phoneticPr fontId="2"/>
  </si>
  <si>
    <t xml:space="preserve"> t-CH₄/千m³</t>
    <rPh sb="7" eb="8">
      <t>セン</t>
    </rPh>
    <phoneticPr fontId="2"/>
  </si>
  <si>
    <t>処理水量に一律加算
(汚泥処理プロセス)</t>
    <rPh sb="0" eb="4">
      <t>ショリスイリョウ</t>
    </rPh>
    <rPh sb="5" eb="7">
      <t>イチリツ</t>
    </rPh>
    <rPh sb="7" eb="9">
      <t>カサン</t>
    </rPh>
    <rPh sb="11" eb="15">
      <t>オデイショリ</t>
    </rPh>
    <phoneticPr fontId="2"/>
  </si>
  <si>
    <t>焼却炉投入汚泥量</t>
    <rPh sb="0" eb="3">
      <t>ショウキャクロ</t>
    </rPh>
    <rPh sb="3" eb="5">
      <t>トウニュウ</t>
    </rPh>
    <rPh sb="5" eb="8">
      <t>オデイリョウ</t>
    </rPh>
    <phoneticPr fontId="2"/>
  </si>
  <si>
    <t>wet-t/年</t>
    <rPh sb="6" eb="7">
      <t>ネン</t>
    </rPh>
    <phoneticPr fontId="2"/>
  </si>
  <si>
    <t>汚泥の焼却</t>
    <rPh sb="0" eb="2">
      <t>オデイ</t>
    </rPh>
    <rPh sb="3" eb="5">
      <t>ショウキャク</t>
    </rPh>
    <phoneticPr fontId="2"/>
  </si>
  <si>
    <t>×</t>
    <phoneticPr fontId="2"/>
  </si>
  <si>
    <t>汚泥の埋立</t>
    <rPh sb="0" eb="2">
      <t>オデイ</t>
    </rPh>
    <rPh sb="3" eb="5">
      <t>ウメタテ</t>
    </rPh>
    <phoneticPr fontId="2"/>
  </si>
  <si>
    <t>嫌気性</t>
    <rPh sb="0" eb="3">
      <t>ケンキセイ</t>
    </rPh>
    <phoneticPr fontId="2"/>
  </si>
  <si>
    <t>準好気性</t>
    <rPh sb="0" eb="4">
      <t>ジュンコウキセイ</t>
    </rPh>
    <phoneticPr fontId="2"/>
  </si>
  <si>
    <t>汚泥埋立量</t>
    <rPh sb="0" eb="5">
      <t>オデイウメタテリョウ</t>
    </rPh>
    <phoneticPr fontId="2"/>
  </si>
  <si>
    <t>t-CH₄/ds-t</t>
    <phoneticPr fontId="2"/>
  </si>
  <si>
    <t>ds-t/年</t>
    <rPh sb="5" eb="6">
      <t>ネン</t>
    </rPh>
    <phoneticPr fontId="2"/>
  </si>
  <si>
    <t>ds-t/年</t>
    <phoneticPr fontId="2"/>
  </si>
  <si>
    <t>コンポスト化</t>
    <rPh sb="5" eb="6">
      <t>カ</t>
    </rPh>
    <phoneticPr fontId="2"/>
  </si>
  <si>
    <t>コンポスト化量</t>
    <rPh sb="5" eb="6">
      <t>カ</t>
    </rPh>
    <rPh sb="6" eb="7">
      <t>リョウ</t>
    </rPh>
    <phoneticPr fontId="2"/>
  </si>
  <si>
    <t>wet-t/年</t>
    <phoneticPr fontId="2"/>
  </si>
  <si>
    <t>t-N₂O/wet-t</t>
  </si>
  <si>
    <t>t-N₂O/wet-t</t>
    <phoneticPr fontId="2"/>
  </si>
  <si>
    <t>t-CH₄/wet-t</t>
  </si>
  <si>
    <t>t-CH₄/wet-t</t>
    <phoneticPr fontId="2"/>
  </si>
  <si>
    <t>当該処理場の創エネ量を算出する。</t>
    <rPh sb="0" eb="2">
      <t>トウガイ</t>
    </rPh>
    <rPh sb="2" eb="4">
      <t>ショリ</t>
    </rPh>
    <rPh sb="4" eb="5">
      <t>ジョウ</t>
    </rPh>
    <rPh sb="6" eb="7">
      <t>ソウ</t>
    </rPh>
    <rPh sb="9" eb="10">
      <t>リョウ</t>
    </rPh>
    <rPh sb="11" eb="13">
      <t>サンシュツ</t>
    </rPh>
    <phoneticPr fontId="5"/>
  </si>
  <si>
    <t>消化ガス利用(発電以外)</t>
    <rPh sb="0" eb="2">
      <t>ショウカ</t>
    </rPh>
    <rPh sb="4" eb="6">
      <t>リヨウ</t>
    </rPh>
    <rPh sb="7" eb="9">
      <t>ハツデン</t>
    </rPh>
    <rPh sb="9" eb="11">
      <t>イガイ</t>
    </rPh>
    <phoneticPr fontId="2"/>
  </si>
  <si>
    <t>※創エネ量は外部利用した量のみを計上してください。自処理場で消費した分は除く。</t>
    <rPh sb="1" eb="2">
      <t>ソウ</t>
    </rPh>
    <rPh sb="4" eb="5">
      <t>リョウ</t>
    </rPh>
    <rPh sb="6" eb="8">
      <t>ガイブ</t>
    </rPh>
    <rPh sb="8" eb="10">
      <t>リヨウ</t>
    </rPh>
    <rPh sb="12" eb="13">
      <t>リョウ</t>
    </rPh>
    <rPh sb="16" eb="18">
      <t>ケイジョウ</t>
    </rPh>
    <rPh sb="25" eb="29">
      <t>ジショリジョウ</t>
    </rPh>
    <rPh sb="30" eb="32">
      <t>ショウヒ</t>
    </rPh>
    <rPh sb="34" eb="35">
      <t>ブン</t>
    </rPh>
    <rPh sb="36" eb="37">
      <t>ノゾ</t>
    </rPh>
    <phoneticPr fontId="2"/>
  </si>
  <si>
    <t>消化ガス発電</t>
    <rPh sb="0" eb="2">
      <t>ショウカ</t>
    </rPh>
    <rPh sb="4" eb="6">
      <t>ハツデン</t>
    </rPh>
    <phoneticPr fontId="2"/>
  </si>
  <si>
    <t>太陽光発電</t>
    <rPh sb="0" eb="3">
      <t>タイヨウコウ</t>
    </rPh>
    <rPh sb="3" eb="5">
      <t>ハツデン</t>
    </rPh>
    <phoneticPr fontId="2"/>
  </si>
  <si>
    <t>小水力発電</t>
    <rPh sb="0" eb="3">
      <t>ショウスイリョク</t>
    </rPh>
    <rPh sb="3" eb="5">
      <t>ハツデン</t>
    </rPh>
    <phoneticPr fontId="2"/>
  </si>
  <si>
    <t>固形燃料製造量</t>
    <rPh sb="0" eb="4">
      <t>コケイネンリョウ</t>
    </rPh>
    <rPh sb="4" eb="7">
      <t>セイゾウリョウ</t>
    </rPh>
    <phoneticPr fontId="2"/>
  </si>
  <si>
    <t>創エネ量</t>
    <rPh sb="0" eb="1">
      <t>ソウ</t>
    </rPh>
    <rPh sb="3" eb="4">
      <t>リョウ</t>
    </rPh>
    <phoneticPr fontId="2"/>
  </si>
  <si>
    <t>創エネ量(A重油換算)</t>
    <rPh sb="0" eb="1">
      <t>ソウ</t>
    </rPh>
    <rPh sb="3" eb="4">
      <t>リョウ</t>
    </rPh>
    <rPh sb="6" eb="8">
      <t>ジュウユ</t>
    </rPh>
    <rPh sb="8" eb="10">
      <t>カンザン</t>
    </rPh>
    <phoneticPr fontId="2"/>
  </si>
  <si>
    <t>t-CO₂/KL</t>
    <phoneticPr fontId="2"/>
  </si>
  <si>
    <t>有効利用量</t>
    <rPh sb="0" eb="2">
      <t>ユウコウ</t>
    </rPh>
    <rPh sb="2" eb="4">
      <t>リヨウ</t>
    </rPh>
    <rPh sb="4" eb="5">
      <t>リョウ</t>
    </rPh>
    <phoneticPr fontId="2"/>
  </si>
  <si>
    <t>①　消化ガス利用に関する創エネ量</t>
    <rPh sb="2" eb="4">
      <t>ショウカ</t>
    </rPh>
    <rPh sb="6" eb="8">
      <t>リヨウ</t>
    </rPh>
    <rPh sb="9" eb="10">
      <t>カン</t>
    </rPh>
    <rPh sb="12" eb="13">
      <t>ソウ</t>
    </rPh>
    <rPh sb="15" eb="16">
      <t>リョウ</t>
    </rPh>
    <phoneticPr fontId="2"/>
  </si>
  <si>
    <t>②　発電に関する創エネ量</t>
    <rPh sb="2" eb="4">
      <t>ハツデン</t>
    </rPh>
    <rPh sb="5" eb="6">
      <t>カン</t>
    </rPh>
    <rPh sb="8" eb="9">
      <t>ソウ</t>
    </rPh>
    <rPh sb="11" eb="12">
      <t>リョウ</t>
    </rPh>
    <phoneticPr fontId="2"/>
  </si>
  <si>
    <t>発電量</t>
    <rPh sb="0" eb="3">
      <t>ハツデンリョウ</t>
    </rPh>
    <phoneticPr fontId="2"/>
  </si>
  <si>
    <t>排出係数</t>
    <rPh sb="0" eb="2">
      <t>ハイシュツ</t>
    </rPh>
    <rPh sb="2" eb="4">
      <t>ケイスウ</t>
    </rPh>
    <phoneticPr fontId="2"/>
  </si>
  <si>
    <t>風力発電</t>
    <rPh sb="0" eb="2">
      <t>フウリョク</t>
    </rPh>
    <rPh sb="2" eb="4">
      <t>ハツデン</t>
    </rPh>
    <phoneticPr fontId="2"/>
  </si>
  <si>
    <t>焼却廃熱発電</t>
    <rPh sb="0" eb="2">
      <t>ショウキャク</t>
    </rPh>
    <rPh sb="2" eb="4">
      <t>ハイネツ</t>
    </rPh>
    <rPh sb="4" eb="6">
      <t>ハツデン</t>
    </rPh>
    <phoneticPr fontId="2"/>
  </si>
  <si>
    <t>その他発電</t>
    <rPh sb="2" eb="3">
      <t>タ</t>
    </rPh>
    <rPh sb="3" eb="5">
      <t>ハツデン</t>
    </rPh>
    <phoneticPr fontId="2"/>
  </si>
  <si>
    <t>③　焼却熱利用に関する創エネ量</t>
    <rPh sb="2" eb="4">
      <t>ショウキャク</t>
    </rPh>
    <rPh sb="4" eb="5">
      <t>ネツ</t>
    </rPh>
    <rPh sb="5" eb="7">
      <t>リヨウ</t>
    </rPh>
    <rPh sb="8" eb="9">
      <t>カン</t>
    </rPh>
    <rPh sb="11" eb="12">
      <t>ソウ</t>
    </rPh>
    <rPh sb="14" eb="15">
      <t>リョウ</t>
    </rPh>
    <phoneticPr fontId="2"/>
  </si>
  <si>
    <t>焼却熱利用</t>
    <phoneticPr fontId="2"/>
  </si>
  <si>
    <t>熱媒体の種類</t>
    <rPh sb="0" eb="3">
      <t>ネツバイタイ</t>
    </rPh>
    <rPh sb="4" eb="5">
      <t>シュ</t>
    </rPh>
    <rPh sb="5" eb="6">
      <t>ルイ</t>
    </rPh>
    <phoneticPr fontId="16"/>
  </si>
  <si>
    <t>温度（利用前）</t>
    <rPh sb="0" eb="2">
      <t>オンド</t>
    </rPh>
    <rPh sb="3" eb="5">
      <t>リヨウ</t>
    </rPh>
    <rPh sb="5" eb="6">
      <t>マエ</t>
    </rPh>
    <phoneticPr fontId="16"/>
  </si>
  <si>
    <t>温度（利用後）</t>
    <rPh sb="0" eb="2">
      <t>オンド</t>
    </rPh>
    <rPh sb="3" eb="5">
      <t>リヨウ</t>
    </rPh>
    <rPh sb="5" eb="6">
      <t>ゴ</t>
    </rPh>
    <phoneticPr fontId="16"/>
  </si>
  <si>
    <t>供給量</t>
    <rPh sb="0" eb="2">
      <t>キョウキュウ</t>
    </rPh>
    <rPh sb="2" eb="3">
      <t>リョウ</t>
    </rPh>
    <phoneticPr fontId="16"/>
  </si>
  <si>
    <t>温水or蒸気</t>
    <rPh sb="0" eb="2">
      <t>オンスイ</t>
    </rPh>
    <rPh sb="4" eb="6">
      <t>ジョウキ</t>
    </rPh>
    <phoneticPr fontId="2"/>
  </si>
  <si>
    <t xml:space="preserve"> ℃</t>
    <phoneticPr fontId="2"/>
  </si>
  <si>
    <t>℃</t>
    <phoneticPr fontId="2"/>
  </si>
  <si>
    <t>t／年</t>
    <phoneticPr fontId="2"/>
  </si>
  <si>
    <t>A重油換算kl／年</t>
    <phoneticPr fontId="2"/>
  </si>
  <si>
    <t>t-CO₂/年</t>
    <phoneticPr fontId="2"/>
  </si>
  <si>
    <t>固形燃料化</t>
    <rPh sb="0" eb="4">
      <t>コケイネンリョウ</t>
    </rPh>
    <rPh sb="4" eb="5">
      <t>カ</t>
    </rPh>
    <phoneticPr fontId="2"/>
  </si>
  <si>
    <t>④　固形燃料化に関する創エネ量</t>
    <rPh sb="2" eb="6">
      <t>コケイネンリョウ</t>
    </rPh>
    <rPh sb="6" eb="7">
      <t>カ</t>
    </rPh>
    <rPh sb="8" eb="9">
      <t>カン</t>
    </rPh>
    <rPh sb="11" eb="12">
      <t>ソウ</t>
    </rPh>
    <rPh sb="14" eb="15">
      <t>リョウ</t>
    </rPh>
    <phoneticPr fontId="2"/>
  </si>
  <si>
    <t>MJ/年</t>
    <rPh sb="3" eb="4">
      <t>ネン</t>
    </rPh>
    <phoneticPr fontId="2"/>
  </si>
  <si>
    <t>A重油CO₂排出係数</t>
    <rPh sb="1" eb="3">
      <t>ジュウユ</t>
    </rPh>
    <phoneticPr fontId="2"/>
  </si>
  <si>
    <t>2．実績値の算出(エネルギー消費にかかる温室効果ガス排出量)</t>
    <rPh sb="2" eb="4">
      <t>ジッセキ</t>
    </rPh>
    <rPh sb="4" eb="5">
      <t>チ</t>
    </rPh>
    <rPh sb="6" eb="8">
      <t>サンシュツ</t>
    </rPh>
    <rPh sb="14" eb="16">
      <t>ショウヒ</t>
    </rPh>
    <rPh sb="20" eb="24">
      <t>オンシツコウカ</t>
    </rPh>
    <rPh sb="26" eb="29">
      <t>ハイシュツリョウ</t>
    </rPh>
    <phoneticPr fontId="5"/>
  </si>
  <si>
    <t>3．実績値の算出(処理プロセスからの温室効果ガス排出量)</t>
    <rPh sb="2" eb="4">
      <t>ジッセキ</t>
    </rPh>
    <rPh sb="4" eb="5">
      <t>チ</t>
    </rPh>
    <rPh sb="6" eb="8">
      <t>サンシュツ</t>
    </rPh>
    <rPh sb="9" eb="11">
      <t>ショリ</t>
    </rPh>
    <phoneticPr fontId="5"/>
  </si>
  <si>
    <t>2018年処理プロセスからの温室効果ガス排出量</t>
    <phoneticPr fontId="5"/>
  </si>
  <si>
    <t>水比熱J/g/k</t>
    <rPh sb="0" eb="1">
      <t>ミズ</t>
    </rPh>
    <rPh sb="1" eb="3">
      <t>ヒネツ</t>
    </rPh>
    <phoneticPr fontId="2"/>
  </si>
  <si>
    <t>A重油換算MJ/l</t>
    <rPh sb="1" eb="3">
      <t>ジュウユ</t>
    </rPh>
    <rPh sb="3" eb="5">
      <t>カンザン</t>
    </rPh>
    <phoneticPr fontId="2"/>
  </si>
  <si>
    <t>蒸気比熱J/g/k</t>
    <rPh sb="0" eb="2">
      <t>ジョウキ</t>
    </rPh>
    <rPh sb="2" eb="4">
      <t>ヒネツ</t>
    </rPh>
    <phoneticPr fontId="2"/>
  </si>
  <si>
    <t>　改定地球温暖化対策計画における下水道分野の取り組みとして、</t>
    <rPh sb="1" eb="3">
      <t>カイテイ</t>
    </rPh>
    <rPh sb="3" eb="7">
      <t>チキュウオンダン</t>
    </rPh>
    <rPh sb="7" eb="8">
      <t>カ</t>
    </rPh>
    <rPh sb="8" eb="10">
      <t>タイサク</t>
    </rPh>
    <rPh sb="10" eb="12">
      <t>ケイカク</t>
    </rPh>
    <rPh sb="16" eb="19">
      <t>ゲスイドウ</t>
    </rPh>
    <rPh sb="19" eb="21">
      <t>ブンヤ</t>
    </rPh>
    <rPh sb="22" eb="23">
      <t>ト</t>
    </rPh>
    <phoneticPr fontId="2"/>
  </si>
  <si>
    <t>　2030年度における温室効果ガス排出量を2013年度比(二酸化炭素換算で)208万t削減が目標として挙げられている。</t>
    <rPh sb="5" eb="6">
      <t>ネン</t>
    </rPh>
    <rPh sb="6" eb="7">
      <t>ド</t>
    </rPh>
    <rPh sb="11" eb="15">
      <t>オンシツコウカ</t>
    </rPh>
    <rPh sb="17" eb="20">
      <t>ハイシュツリョウ</t>
    </rPh>
    <rPh sb="25" eb="27">
      <t>ネンド</t>
    </rPh>
    <rPh sb="27" eb="28">
      <t>ヒ</t>
    </rPh>
    <rPh sb="29" eb="32">
      <t>ニサンカ</t>
    </rPh>
    <rPh sb="32" eb="34">
      <t>タンソ</t>
    </rPh>
    <rPh sb="34" eb="36">
      <t>カンザン</t>
    </rPh>
    <rPh sb="41" eb="42">
      <t>マン</t>
    </rPh>
    <rPh sb="43" eb="45">
      <t>サクゲン</t>
    </rPh>
    <rPh sb="46" eb="48">
      <t>モクヒョウ</t>
    </rPh>
    <rPh sb="51" eb="52">
      <t>ア</t>
    </rPh>
    <phoneticPr fontId="2"/>
  </si>
  <si>
    <t>　208万tの内訳としては</t>
    <rPh sb="4" eb="5">
      <t>マン</t>
    </rPh>
    <rPh sb="7" eb="9">
      <t>ウチワケ</t>
    </rPh>
    <phoneticPr fontId="2"/>
  </si>
  <si>
    <t>　①省エネの促進により60万t削減</t>
    <rPh sb="2" eb="3">
      <t>ショウ</t>
    </rPh>
    <rPh sb="6" eb="8">
      <t>ソクシン</t>
    </rPh>
    <rPh sb="13" eb="14">
      <t>マン</t>
    </rPh>
    <rPh sb="15" eb="17">
      <t>サクゲン</t>
    </rPh>
    <phoneticPr fontId="2"/>
  </si>
  <si>
    <t>　②下水汚泥のエネルギー化(創エネ)により70万t削減</t>
    <rPh sb="2" eb="4">
      <t>ゲスイ</t>
    </rPh>
    <rPh sb="4" eb="6">
      <t>オデイ</t>
    </rPh>
    <rPh sb="12" eb="13">
      <t>カ</t>
    </rPh>
    <rPh sb="14" eb="15">
      <t>ソウ</t>
    </rPh>
    <rPh sb="23" eb="24">
      <t>マン</t>
    </rPh>
    <rPh sb="25" eb="27">
      <t>サクゲン</t>
    </rPh>
    <phoneticPr fontId="2"/>
  </si>
  <si>
    <t>4．実績値の算出(創エネ量)</t>
    <rPh sb="2" eb="4">
      <t>ジッセキ</t>
    </rPh>
    <rPh sb="4" eb="5">
      <t>チ</t>
    </rPh>
    <rPh sb="6" eb="8">
      <t>サンシュツ</t>
    </rPh>
    <rPh sb="9" eb="10">
      <t>ソウ</t>
    </rPh>
    <phoneticPr fontId="5"/>
  </si>
  <si>
    <t xml:space="preserve">       10以上の追加の対策がある場合は適宜リストの追加をお願いします。</t>
    <rPh sb="9" eb="11">
      <t>イジョウ</t>
    </rPh>
    <rPh sb="12" eb="14">
      <t>ツイカ</t>
    </rPh>
    <rPh sb="15" eb="17">
      <t>タイサク</t>
    </rPh>
    <rPh sb="20" eb="22">
      <t>バアイ</t>
    </rPh>
    <rPh sb="23" eb="25">
      <t>テキギ</t>
    </rPh>
    <rPh sb="29" eb="31">
      <t>ツイカ</t>
    </rPh>
    <rPh sb="33" eb="34">
      <t>ネガ</t>
    </rPh>
    <phoneticPr fontId="2"/>
  </si>
  <si>
    <t>切片</t>
    <rPh sb="0" eb="2">
      <t>セッペン</t>
    </rPh>
    <phoneticPr fontId="2"/>
  </si>
  <si>
    <t>t-CO₂/千m³</t>
    <phoneticPr fontId="2"/>
  </si>
  <si>
    <t>⑤　創エネ量合計値</t>
    <rPh sb="2" eb="3">
      <t>ソウ</t>
    </rPh>
    <rPh sb="5" eb="6">
      <t>リョウ</t>
    </rPh>
    <rPh sb="6" eb="9">
      <t>ゴウケイチ</t>
    </rPh>
    <phoneticPr fontId="2"/>
  </si>
  <si>
    <t>2018年総創エネ量</t>
    <rPh sb="5" eb="6">
      <t>ソウ</t>
    </rPh>
    <rPh sb="6" eb="7">
      <t>ソウ</t>
    </rPh>
    <phoneticPr fontId="2"/>
  </si>
  <si>
    <t>2018年実績値</t>
    <rPh sb="4" eb="5">
      <t>ネン</t>
    </rPh>
    <rPh sb="5" eb="8">
      <t>ジッセキチ</t>
    </rPh>
    <phoneticPr fontId="2"/>
  </si>
  <si>
    <t>エネルギー消費にかかる温室効果ガス排出量</t>
    <rPh sb="5" eb="7">
      <t>ショウヒ</t>
    </rPh>
    <rPh sb="11" eb="15">
      <t>オンシツコウカ</t>
    </rPh>
    <rPh sb="17" eb="19">
      <t>ハイシュツ</t>
    </rPh>
    <rPh sb="19" eb="20">
      <t>リョウ</t>
    </rPh>
    <phoneticPr fontId="2"/>
  </si>
  <si>
    <t>処理プロセスからの温室効果ガス排出量</t>
    <phoneticPr fontId="2"/>
  </si>
  <si>
    <t>t-CO₂</t>
  </si>
  <si>
    <t>・現状の整理</t>
    <rPh sb="1" eb="3">
      <t>ゲンジョウ</t>
    </rPh>
    <rPh sb="4" eb="6">
      <t>セイリ</t>
    </rPh>
    <phoneticPr fontId="2"/>
  </si>
  <si>
    <t>総温室効果ガス排出量</t>
    <rPh sb="0" eb="1">
      <t>ソウ</t>
    </rPh>
    <rPh sb="1" eb="5">
      <t>オンシツコウカ</t>
    </rPh>
    <rPh sb="7" eb="10">
      <t>ハイシュツリョウ</t>
    </rPh>
    <phoneticPr fontId="2"/>
  </si>
  <si>
    <t>処理水量当たりの温室効果ガス排出量</t>
    <rPh sb="0" eb="4">
      <t>ショリスイリョウ</t>
    </rPh>
    <rPh sb="4" eb="5">
      <t>ア</t>
    </rPh>
    <rPh sb="8" eb="12">
      <t>オンシツコウカ</t>
    </rPh>
    <rPh sb="14" eb="17">
      <t>ハイシュツリョウ</t>
    </rPh>
    <phoneticPr fontId="2"/>
  </si>
  <si>
    <t>t-CO₂/年となる。</t>
    <phoneticPr fontId="2"/>
  </si>
  <si>
    <t>2018年OD法以外の総処理水量</t>
    <rPh sb="4" eb="5">
      <t>ネン</t>
    </rPh>
    <rPh sb="7" eb="8">
      <t>ホウ</t>
    </rPh>
    <rPh sb="8" eb="10">
      <t>イガイ</t>
    </rPh>
    <rPh sb="11" eb="12">
      <t>ソウ</t>
    </rPh>
    <rPh sb="12" eb="16">
      <t>ショリスイリョウ</t>
    </rPh>
    <phoneticPr fontId="2"/>
  </si>
  <si>
    <t>千m³/年</t>
    <rPh sb="4" eb="5">
      <t>ネン</t>
    </rPh>
    <phoneticPr fontId="2"/>
  </si>
  <si>
    <t>該当処理場における処理水量</t>
    <rPh sb="0" eb="2">
      <t>ガイトウ</t>
    </rPh>
    <rPh sb="2" eb="5">
      <t>ショリジョウ</t>
    </rPh>
    <rPh sb="9" eb="13">
      <t>ショリスイリョウ</t>
    </rPh>
    <phoneticPr fontId="2"/>
  </si>
  <si>
    <t>流量比</t>
    <rPh sb="0" eb="3">
      <t>リュウリョウヒ</t>
    </rPh>
    <phoneticPr fontId="2"/>
  </si>
  <si>
    <t>2018年焼却を有する
処理場の総処理水量</t>
    <rPh sb="4" eb="5">
      <t>ネン</t>
    </rPh>
    <rPh sb="5" eb="7">
      <t>ショウキャク</t>
    </rPh>
    <rPh sb="8" eb="9">
      <t>ユウ</t>
    </rPh>
    <rPh sb="12" eb="15">
      <t>ショリジョウ</t>
    </rPh>
    <rPh sb="16" eb="17">
      <t>ソウ</t>
    </rPh>
    <rPh sb="17" eb="21">
      <t>ショリスイリョウ</t>
    </rPh>
    <phoneticPr fontId="2"/>
  </si>
  <si>
    <t>④まとめ</t>
    <phoneticPr fontId="2"/>
  </si>
  <si>
    <t>・再エネ対策リスト</t>
    <rPh sb="1" eb="2">
      <t>サイ</t>
    </rPh>
    <rPh sb="4" eb="6">
      <t>タイサク</t>
    </rPh>
    <phoneticPr fontId="2"/>
  </si>
  <si>
    <t xml:space="preserve">       各対策の導入効果は目安値であり、実際の導入に当たっては詳細な検討を必要とする。</t>
    <rPh sb="7" eb="8">
      <t>カク</t>
    </rPh>
    <rPh sb="8" eb="10">
      <t>タイサク</t>
    </rPh>
    <rPh sb="11" eb="15">
      <t>ドウニュウコウカ</t>
    </rPh>
    <rPh sb="16" eb="18">
      <t>メヤス</t>
    </rPh>
    <rPh sb="18" eb="19">
      <t>チ</t>
    </rPh>
    <rPh sb="23" eb="25">
      <t>ジッサイ</t>
    </rPh>
    <rPh sb="26" eb="28">
      <t>ドウニュウ</t>
    </rPh>
    <rPh sb="29" eb="30">
      <t>ア</t>
    </rPh>
    <rPh sb="34" eb="36">
      <t>ショウサイ</t>
    </rPh>
    <rPh sb="37" eb="39">
      <t>ケントウ</t>
    </rPh>
    <rPh sb="40" eb="42">
      <t>ヒツヨウ</t>
    </rPh>
    <phoneticPr fontId="2"/>
  </si>
  <si>
    <t>現状の温室効果ガス排出量
(処理場全体)</t>
    <rPh sb="0" eb="2">
      <t>ゲンジョウ</t>
    </rPh>
    <rPh sb="3" eb="7">
      <t>オンシツコウカ</t>
    </rPh>
    <rPh sb="9" eb="12">
      <t>ハイシュツリョウ</t>
    </rPh>
    <rPh sb="14" eb="17">
      <t>ショリジョウ</t>
    </rPh>
    <rPh sb="17" eb="19">
      <t>ゼンタイ</t>
    </rPh>
    <phoneticPr fontId="2"/>
  </si>
  <si>
    <t>対策の寄与率
(現状/現状の総排出量)</t>
    <rPh sb="0" eb="2">
      <t>タイサク</t>
    </rPh>
    <rPh sb="3" eb="6">
      <t>キヨリツ</t>
    </rPh>
    <rPh sb="8" eb="10">
      <t>ゲンジョウ</t>
    </rPh>
    <rPh sb="11" eb="13">
      <t>ゲンジョウ</t>
    </rPh>
    <rPh sb="14" eb="15">
      <t>ソウ</t>
    </rPh>
    <rPh sb="15" eb="18">
      <t>ハイシュツリョウ</t>
    </rPh>
    <phoneticPr fontId="2"/>
  </si>
  <si>
    <t>全処理場</t>
    <rPh sb="0" eb="4">
      <t>ゼンショリジョウ</t>
    </rPh>
    <phoneticPr fontId="2"/>
  </si>
  <si>
    <t>太陽光発電の導入</t>
    <rPh sb="0" eb="3">
      <t>タイヨウコウ</t>
    </rPh>
    <rPh sb="3" eb="5">
      <t>ハツデン</t>
    </rPh>
    <rPh sb="6" eb="8">
      <t>ドウニュウ</t>
    </rPh>
    <phoneticPr fontId="2"/>
  </si>
  <si>
    <t>風力発電の導入</t>
    <rPh sb="0" eb="2">
      <t>フウリョク</t>
    </rPh>
    <rPh sb="2" eb="4">
      <t>ハツデン</t>
    </rPh>
    <rPh sb="5" eb="7">
      <t>ドウニュウ</t>
    </rPh>
    <phoneticPr fontId="2"/>
  </si>
  <si>
    <t>各対策による合計値</t>
    <phoneticPr fontId="2"/>
  </si>
  <si>
    <t>・再エネ対策 No.1太陽光発電の導入</t>
    <rPh sb="17" eb="19">
      <t>ドウニュウ</t>
    </rPh>
    <phoneticPr fontId="2"/>
  </si>
  <si>
    <r>
      <t>太陽光パネル設置面積（m</t>
    </r>
    <r>
      <rPr>
        <vertAlign val="superscript"/>
        <sz val="11"/>
        <color theme="1"/>
        <rFont val="游ゴシック"/>
        <family val="3"/>
        <charset val="128"/>
        <scheme val="minor"/>
      </rPr>
      <t>2</t>
    </r>
    <r>
      <rPr>
        <sz val="11"/>
        <color theme="1"/>
        <rFont val="游ゴシック"/>
        <family val="3"/>
        <charset val="128"/>
        <scheme val="minor"/>
      </rPr>
      <t>）</t>
    </r>
    <rPh sb="0" eb="2">
      <t>タイヨウ</t>
    </rPh>
    <rPh sb="2" eb="3">
      <t>コウ</t>
    </rPh>
    <rPh sb="6" eb="8">
      <t>セッチ</t>
    </rPh>
    <rPh sb="8" eb="10">
      <t>メンセキ</t>
    </rPh>
    <phoneticPr fontId="2"/>
  </si>
  <si>
    <r>
      <t>設置面積当たりの出力（W/m</t>
    </r>
    <r>
      <rPr>
        <vertAlign val="superscript"/>
        <sz val="11"/>
        <color theme="1"/>
        <rFont val="游ゴシック"/>
        <family val="3"/>
        <charset val="128"/>
        <scheme val="minor"/>
      </rPr>
      <t>2</t>
    </r>
    <r>
      <rPr>
        <sz val="11"/>
        <color theme="1"/>
        <rFont val="游ゴシック"/>
        <family val="3"/>
        <charset val="128"/>
        <scheme val="minor"/>
      </rPr>
      <t>）</t>
    </r>
    <rPh sb="0" eb="2">
      <t>セッチ</t>
    </rPh>
    <rPh sb="2" eb="4">
      <t>メンセキ</t>
    </rPh>
    <rPh sb="4" eb="5">
      <t>ア</t>
    </rPh>
    <rPh sb="8" eb="10">
      <t>シュツリョク</t>
    </rPh>
    <phoneticPr fontId="2"/>
  </si>
  <si>
    <t>総出力（kW）</t>
    <rPh sb="0" eb="3">
      <t>ソウシュツリョク</t>
    </rPh>
    <phoneticPr fontId="2"/>
  </si>
  <si>
    <t>月</t>
    <rPh sb="0" eb="1">
      <t>ツキ</t>
    </rPh>
    <phoneticPr fontId="2"/>
  </si>
  <si>
    <t>1月</t>
    <rPh sb="1" eb="2">
      <t>ガツ</t>
    </rPh>
    <phoneticPr fontId="2"/>
  </si>
  <si>
    <t>2月</t>
  </si>
  <si>
    <t>3月</t>
  </si>
  <si>
    <t>4月</t>
  </si>
  <si>
    <t>5月</t>
  </si>
  <si>
    <t>6月</t>
  </si>
  <si>
    <t>7月</t>
  </si>
  <si>
    <t>8月</t>
  </si>
  <si>
    <t>9月</t>
  </si>
  <si>
    <t>10月</t>
  </si>
  <si>
    <t>11月</t>
  </si>
  <si>
    <t>12月</t>
  </si>
  <si>
    <t>日数</t>
    <rPh sb="0" eb="2">
      <t>ニッスウ</t>
    </rPh>
    <phoneticPr fontId="2"/>
  </si>
  <si>
    <r>
      <t>平均日射量※
（kWh/m</t>
    </r>
    <r>
      <rPr>
        <b/>
        <vertAlign val="superscript"/>
        <sz val="11"/>
        <color rgb="FFFF0000"/>
        <rFont val="游ゴシック"/>
        <family val="3"/>
        <charset val="128"/>
        <scheme val="minor"/>
      </rPr>
      <t>2</t>
    </r>
    <r>
      <rPr>
        <b/>
        <sz val="11"/>
        <color rgb="FFFF0000"/>
        <rFont val="游ゴシック"/>
        <family val="3"/>
        <charset val="128"/>
        <scheme val="minor"/>
      </rPr>
      <t>・日）</t>
    </r>
    <rPh sb="0" eb="2">
      <t>ヘイキン</t>
    </rPh>
    <rPh sb="2" eb="4">
      <t>ニッシャ</t>
    </rPh>
    <rPh sb="4" eb="5">
      <t>リョウ</t>
    </rPh>
    <rPh sb="15" eb="16">
      <t>ニチ</t>
    </rPh>
    <phoneticPr fontId="2"/>
  </si>
  <si>
    <t>発電量
（kWh/月)</t>
    <rPh sb="0" eb="2">
      <t>ハツデン</t>
    </rPh>
    <rPh sb="2" eb="3">
      <t>リョウ</t>
    </rPh>
    <rPh sb="9" eb="10">
      <t>ツキ</t>
    </rPh>
    <phoneticPr fontId="2"/>
  </si>
  <si>
    <t>年間発電量
（千kWh/年)</t>
    <rPh sb="0" eb="2">
      <t>ネンカン</t>
    </rPh>
    <rPh sb="2" eb="4">
      <t>ハツデン</t>
    </rPh>
    <rPh sb="4" eb="5">
      <t>リョウ</t>
    </rPh>
    <rPh sb="7" eb="8">
      <t>セン</t>
    </rPh>
    <rPh sb="12" eb="13">
      <t>ネン</t>
    </rPh>
    <phoneticPr fontId="2"/>
  </si>
  <si>
    <t>電力の排出係数(t-CO₂/千kWh)</t>
    <rPh sb="0" eb="2">
      <t>デンリョク</t>
    </rPh>
    <rPh sb="3" eb="5">
      <t>ハイシュツ</t>
    </rPh>
    <rPh sb="5" eb="7">
      <t>ケイスウ</t>
    </rPh>
    <rPh sb="14" eb="15">
      <t>セン</t>
    </rPh>
    <phoneticPr fontId="2"/>
  </si>
  <si>
    <t>温室効果ガス削減量(t-CO₂/年）</t>
    <rPh sb="0" eb="4">
      <t>オンシツコウカ</t>
    </rPh>
    <rPh sb="6" eb="9">
      <t>サクゲンリョウ</t>
    </rPh>
    <rPh sb="16" eb="17">
      <t>ネン</t>
    </rPh>
    <phoneticPr fontId="2"/>
  </si>
  <si>
    <t>※NEDO　日射量データベース閲覧システムより簡易的に調べることができます。</t>
    <rPh sb="6" eb="8">
      <t>ニッシャ</t>
    </rPh>
    <rPh sb="8" eb="9">
      <t>リョウ</t>
    </rPh>
    <rPh sb="15" eb="17">
      <t>エツラン</t>
    </rPh>
    <rPh sb="23" eb="26">
      <t>カンイテキ</t>
    </rPh>
    <rPh sb="27" eb="28">
      <t>シラ</t>
    </rPh>
    <phoneticPr fontId="2"/>
  </si>
  <si>
    <t>日射量データベースは下記リンクよりシステムのダウンロードすることができます。</t>
    <rPh sb="0" eb="3">
      <t>ニッシャリョウ</t>
    </rPh>
    <rPh sb="10" eb="12">
      <t>カキ</t>
    </rPh>
    <phoneticPr fontId="2"/>
  </si>
  <si>
    <t>https://www.nedo.go.jp/library/nissharyou.html</t>
    <phoneticPr fontId="2"/>
  </si>
  <si>
    <t>上記、リンクが使用できない場合「日射に関するデータベース」とインターネット検索して下さい。</t>
    <rPh sb="0" eb="2">
      <t>ジョウキ</t>
    </rPh>
    <rPh sb="7" eb="9">
      <t>シヨウ</t>
    </rPh>
    <rPh sb="13" eb="15">
      <t>バアイ</t>
    </rPh>
    <rPh sb="16" eb="18">
      <t>ニッシャ</t>
    </rPh>
    <rPh sb="19" eb="20">
      <t>カン</t>
    </rPh>
    <rPh sb="37" eb="39">
      <t>ケンサク</t>
    </rPh>
    <rPh sb="41" eb="42">
      <t>クダ</t>
    </rPh>
    <phoneticPr fontId="2"/>
  </si>
  <si>
    <t>出典元：「下水処理場におけるエネルギー自立化に向けた技術資料」(2020年3月　公財)日本下水道新技術機構）</t>
    <rPh sb="0" eb="2">
      <t>シュッテン</t>
    </rPh>
    <rPh sb="2" eb="3">
      <t>モト</t>
    </rPh>
    <rPh sb="5" eb="10">
      <t>ゲスイショリジョウ</t>
    </rPh>
    <rPh sb="19" eb="22">
      <t>ジリツカ</t>
    </rPh>
    <rPh sb="23" eb="24">
      <t>ム</t>
    </rPh>
    <rPh sb="26" eb="28">
      <t>ギジュツ</t>
    </rPh>
    <rPh sb="28" eb="30">
      <t>シリョウ</t>
    </rPh>
    <rPh sb="36" eb="37">
      <t>ネン</t>
    </rPh>
    <rPh sb="38" eb="39">
      <t>ガツ</t>
    </rPh>
    <rPh sb="40" eb="42">
      <t>コウザイ</t>
    </rPh>
    <rPh sb="43" eb="45">
      <t>ニホン</t>
    </rPh>
    <rPh sb="45" eb="48">
      <t>ゲスイドウ</t>
    </rPh>
    <rPh sb="48" eb="51">
      <t>シンギジュツ</t>
    </rPh>
    <rPh sb="51" eb="53">
      <t>キコウ</t>
    </rPh>
    <phoneticPr fontId="2"/>
  </si>
  <si>
    <t>・再エネ対策No.2 風力発電の導入</t>
    <rPh sb="11" eb="13">
      <t>フウリョク</t>
    </rPh>
    <rPh sb="13" eb="15">
      <t>ハツデン</t>
    </rPh>
    <rPh sb="16" eb="18">
      <t>ドウニュウ</t>
    </rPh>
    <phoneticPr fontId="2"/>
  </si>
  <si>
    <t>項目</t>
  </si>
  <si>
    <t>試算</t>
  </si>
  <si>
    <t>入力項目</t>
    <rPh sb="0" eb="2">
      <t>ニュウリョク</t>
    </rPh>
    <rPh sb="2" eb="4">
      <t>コウモク</t>
    </rPh>
    <phoneticPr fontId="2"/>
  </si>
  <si>
    <t>システム容量 (kW)(合計）</t>
    <rPh sb="12" eb="14">
      <t>ゴウケイ</t>
    </rPh>
    <phoneticPr fontId="2"/>
  </si>
  <si>
    <t>　　　　　　（kWh/基）</t>
    <rPh sb="11" eb="12">
      <t>キ</t>
    </rPh>
    <phoneticPr fontId="2"/>
  </si>
  <si>
    <t>風車直径 (m）</t>
  </si>
  <si>
    <r>
      <t>空気密度 (kg/m</t>
    </r>
    <r>
      <rPr>
        <vertAlign val="superscript"/>
        <sz val="10.5"/>
        <color theme="1"/>
        <rFont val="游ゴシック"/>
        <family val="3"/>
        <charset val="128"/>
        <scheme val="minor"/>
      </rPr>
      <t>3</t>
    </r>
    <r>
      <rPr>
        <sz val="10.5"/>
        <color theme="1"/>
        <rFont val="游ゴシック"/>
        <family val="3"/>
        <charset val="128"/>
        <scheme val="minor"/>
      </rPr>
      <t>）</t>
    </r>
  </si>
  <si>
    <t>風速 (m/s）※</t>
    <phoneticPr fontId="2"/>
  </si>
  <si>
    <t>基数</t>
    <rPh sb="0" eb="2">
      <t>キスウ</t>
    </rPh>
    <phoneticPr fontId="2"/>
  </si>
  <si>
    <t>風力発電による年間発電電力量 (千kWh/年)</t>
    <rPh sb="0" eb="2">
      <t>フウリョク</t>
    </rPh>
    <rPh sb="2" eb="4">
      <t>ハツデン</t>
    </rPh>
    <phoneticPr fontId="2"/>
  </si>
  <si>
    <t>※風速に関しては、以下より簡易的に調べることができます。</t>
    <rPh sb="1" eb="3">
      <t>フウソク</t>
    </rPh>
    <rPh sb="4" eb="5">
      <t>カン</t>
    </rPh>
    <rPh sb="9" eb="11">
      <t>イカ</t>
    </rPh>
    <rPh sb="13" eb="16">
      <t>カンイテキ</t>
    </rPh>
    <rPh sb="17" eb="18">
      <t>シラ</t>
    </rPh>
    <phoneticPr fontId="2"/>
  </si>
  <si>
    <t>https://appraw1.infoc.nedo.go.jp/nedo/index.html</t>
    <phoneticPr fontId="2"/>
  </si>
  <si>
    <t>上記、リンクが使用できない場合「居所風況マップ」とインターネット検索して下さい。</t>
    <rPh sb="0" eb="2">
      <t>ジョウキ</t>
    </rPh>
    <rPh sb="7" eb="9">
      <t>シヨウ</t>
    </rPh>
    <rPh sb="13" eb="15">
      <t>バアイ</t>
    </rPh>
    <rPh sb="16" eb="18">
      <t>キョショ</t>
    </rPh>
    <rPh sb="18" eb="20">
      <t>フウキョウ</t>
    </rPh>
    <rPh sb="32" eb="34">
      <t>ケンサク</t>
    </rPh>
    <rPh sb="36" eb="37">
      <t>クダ</t>
    </rPh>
    <phoneticPr fontId="2"/>
  </si>
  <si>
    <r>
      <t>下記に</t>
    </r>
    <r>
      <rPr>
        <b/>
        <sz val="11"/>
        <color rgb="FFFF0000"/>
        <rFont val="游ゴシック"/>
        <family val="3"/>
        <charset val="128"/>
        <scheme val="minor"/>
      </rPr>
      <t>2013年</t>
    </r>
    <r>
      <rPr>
        <b/>
        <sz val="11"/>
        <color theme="1"/>
        <rFont val="游ゴシック"/>
        <family val="3"/>
        <charset val="128"/>
        <scheme val="minor"/>
      </rPr>
      <t>及び</t>
    </r>
    <r>
      <rPr>
        <b/>
        <sz val="11"/>
        <color rgb="FFFF0000"/>
        <rFont val="游ゴシック"/>
        <family val="3"/>
        <charset val="128"/>
        <scheme val="minor"/>
      </rPr>
      <t>2018年</t>
    </r>
    <r>
      <rPr>
        <b/>
        <sz val="11"/>
        <color theme="1"/>
        <rFont val="游ゴシック"/>
        <family val="3"/>
        <charset val="128"/>
        <scheme val="minor"/>
      </rPr>
      <t>の実績値の記入をお願いします。</t>
    </r>
    <rPh sb="0" eb="2">
      <t>カキ</t>
    </rPh>
    <rPh sb="7" eb="8">
      <t>ネン</t>
    </rPh>
    <rPh sb="8" eb="9">
      <t>オヨ</t>
    </rPh>
    <rPh sb="14" eb="15">
      <t>ネン</t>
    </rPh>
    <rPh sb="16" eb="19">
      <t>ジッセキチ</t>
    </rPh>
    <rPh sb="20" eb="22">
      <t>キニュウ</t>
    </rPh>
    <rPh sb="24" eb="25">
      <t>ネガ</t>
    </rPh>
    <phoneticPr fontId="5"/>
  </si>
  <si>
    <t>①省エネの促進により60万t削減については</t>
    <phoneticPr fontId="2"/>
  </si>
  <si>
    <t>②下水汚泥のエネルギー化(創エネ)により70万t削減については</t>
    <phoneticPr fontId="2"/>
  </si>
  <si>
    <t>　下水道事業全体で2013年から2018年にかけて削減した29万tを70万tから差し引き、</t>
    <rPh sb="1" eb="4">
      <t>ゲスイドウ</t>
    </rPh>
    <rPh sb="4" eb="6">
      <t>ジギョウ</t>
    </rPh>
    <rPh sb="6" eb="8">
      <t>ゼンタイ</t>
    </rPh>
    <rPh sb="13" eb="14">
      <t>ネン</t>
    </rPh>
    <rPh sb="20" eb="21">
      <t>ネン</t>
    </rPh>
    <rPh sb="25" eb="27">
      <t>サクゲン</t>
    </rPh>
    <rPh sb="31" eb="32">
      <t>マン</t>
    </rPh>
    <rPh sb="36" eb="37">
      <t>マン</t>
    </rPh>
    <rPh sb="40" eb="41">
      <t>サ</t>
    </rPh>
    <rPh sb="42" eb="43">
      <t>ヒ</t>
    </rPh>
    <phoneticPr fontId="2"/>
  </si>
  <si>
    <t>(実績値)</t>
    <phoneticPr fontId="5"/>
  </si>
  <si>
    <t>年</t>
    <rPh sb="0" eb="1">
      <t>ネン</t>
    </rPh>
    <phoneticPr fontId="5"/>
  </si>
  <si>
    <t>2013年</t>
    <rPh sb="4" eb="5">
      <t>ネン</t>
    </rPh>
    <phoneticPr fontId="5"/>
  </si>
  <si>
    <t>2014年</t>
    <rPh sb="4" eb="5">
      <t>ネン</t>
    </rPh>
    <phoneticPr fontId="5"/>
  </si>
  <si>
    <t>2015年</t>
    <rPh sb="4" eb="5">
      <t>ネン</t>
    </rPh>
    <phoneticPr fontId="5"/>
  </si>
  <si>
    <t>2016年</t>
    <rPh sb="4" eb="5">
      <t>ネン</t>
    </rPh>
    <phoneticPr fontId="5"/>
  </si>
  <si>
    <t>2017年</t>
    <rPh sb="4" eb="5">
      <t>ネン</t>
    </rPh>
    <phoneticPr fontId="5"/>
  </si>
  <si>
    <t>2018年</t>
    <rPh sb="4" eb="5">
      <t>ネン</t>
    </rPh>
    <phoneticPr fontId="5"/>
  </si>
  <si>
    <t>2019年</t>
    <rPh sb="4" eb="5">
      <t>ネン</t>
    </rPh>
    <phoneticPr fontId="5"/>
  </si>
  <si>
    <t>2020年</t>
    <rPh sb="4" eb="5">
      <t>ネン</t>
    </rPh>
    <phoneticPr fontId="5"/>
  </si>
  <si>
    <t>2021年</t>
    <rPh sb="4" eb="5">
      <t>ネン</t>
    </rPh>
    <phoneticPr fontId="5"/>
  </si>
  <si>
    <t>2022年</t>
    <rPh sb="4" eb="5">
      <t>ネン</t>
    </rPh>
    <phoneticPr fontId="5"/>
  </si>
  <si>
    <t>2023年</t>
    <rPh sb="4" eb="5">
      <t>ネン</t>
    </rPh>
    <phoneticPr fontId="5"/>
  </si>
  <si>
    <t>2024年</t>
    <rPh sb="4" eb="5">
      <t>ネン</t>
    </rPh>
    <phoneticPr fontId="5"/>
  </si>
  <si>
    <t>2025年</t>
    <rPh sb="4" eb="5">
      <t>ネン</t>
    </rPh>
    <phoneticPr fontId="5"/>
  </si>
  <si>
    <t>2026年</t>
    <rPh sb="4" eb="5">
      <t>ネン</t>
    </rPh>
    <phoneticPr fontId="5"/>
  </si>
  <si>
    <t>2027年</t>
    <rPh sb="4" eb="5">
      <t>ネン</t>
    </rPh>
    <phoneticPr fontId="5"/>
  </si>
  <si>
    <t>2028年</t>
    <rPh sb="4" eb="5">
      <t>ネン</t>
    </rPh>
    <phoneticPr fontId="5"/>
  </si>
  <si>
    <t>2029年</t>
    <rPh sb="4" eb="5">
      <t>ネン</t>
    </rPh>
    <phoneticPr fontId="5"/>
  </si>
  <si>
    <t>2030年</t>
    <rPh sb="4" eb="5">
      <t>ネン</t>
    </rPh>
    <phoneticPr fontId="5"/>
  </si>
  <si>
    <t>処理水量当たりの
温室効果ガス排出量(t-CO₂/千m³)</t>
    <rPh sb="25" eb="26">
      <t>セン</t>
    </rPh>
    <phoneticPr fontId="5"/>
  </si>
  <si>
    <t>③汚泥焼却の高度化により78万t削減については</t>
    <phoneticPr fontId="2"/>
  </si>
  <si>
    <t>1.　基本情報(2018年の情報を記入　処理水量のみ2013年の値も入力)</t>
    <rPh sb="3" eb="7">
      <t>キホンジョウホウ</t>
    </rPh>
    <rPh sb="14" eb="16">
      <t>ジョウホウ</t>
    </rPh>
    <rPh sb="17" eb="19">
      <t>キニュウ</t>
    </rPh>
    <rPh sb="20" eb="24">
      <t>ショリスイリョウ</t>
    </rPh>
    <rPh sb="30" eb="31">
      <t>ネン</t>
    </rPh>
    <rPh sb="32" eb="33">
      <t>アタイ</t>
    </rPh>
    <rPh sb="34" eb="36">
      <t>ニュウリョク</t>
    </rPh>
    <phoneticPr fontId="2"/>
  </si>
  <si>
    <t>処理施設全体の処理水量(2013年)</t>
    <rPh sb="0" eb="4">
      <t>ショリシセツ</t>
    </rPh>
    <rPh sb="4" eb="6">
      <t>ゼンタイ</t>
    </rPh>
    <rPh sb="7" eb="11">
      <t>ショリスイリョウ</t>
    </rPh>
    <rPh sb="16" eb="17">
      <t>ネン</t>
    </rPh>
    <phoneticPr fontId="5"/>
  </si>
  <si>
    <t>処理施設全体の処理水量(2018年)</t>
    <rPh sb="0" eb="4">
      <t>ショリシセツ</t>
    </rPh>
    <rPh sb="4" eb="6">
      <t>ゼンタイ</t>
    </rPh>
    <rPh sb="7" eb="11">
      <t>ショリスイリョウ</t>
    </rPh>
    <phoneticPr fontId="5"/>
  </si>
  <si>
    <t>処理水量当たりの
温室効果ガス排出量
(t-CO₂/千m³)</t>
    <rPh sb="26" eb="27">
      <t>セン</t>
    </rPh>
    <phoneticPr fontId="5"/>
  </si>
  <si>
    <t>温室効果ガス排出量
(t-CO₂/年)</t>
    <rPh sb="17" eb="18">
      <t>ネン</t>
    </rPh>
    <phoneticPr fontId="5"/>
  </si>
  <si>
    <t>2018年
平均値</t>
    <rPh sb="4" eb="5">
      <t>ネン</t>
    </rPh>
    <rPh sb="6" eb="9">
      <t>ヘイキンチ</t>
    </rPh>
    <phoneticPr fontId="2"/>
  </si>
  <si>
    <t>高分子・流動炉(通常)
約800℃</t>
    <rPh sb="0" eb="3">
      <t>コウブンシ</t>
    </rPh>
    <rPh sb="4" eb="7">
      <t>リュウドウロ</t>
    </rPh>
    <rPh sb="8" eb="10">
      <t>ツウジョウ</t>
    </rPh>
    <rPh sb="12" eb="13">
      <t>ヤク</t>
    </rPh>
    <phoneticPr fontId="2"/>
  </si>
  <si>
    <t>高分子・流動炉(高温)
約850℃</t>
    <rPh sb="0" eb="3">
      <t>コウブンシ</t>
    </rPh>
    <rPh sb="4" eb="7">
      <t>リュウドウロ</t>
    </rPh>
    <rPh sb="8" eb="10">
      <t>コウオン</t>
    </rPh>
    <rPh sb="12" eb="13">
      <t>ヤク</t>
    </rPh>
    <phoneticPr fontId="2"/>
  </si>
  <si>
    <t>高分子・多段炉</t>
    <rPh sb="0" eb="3">
      <t>コウブンシ</t>
    </rPh>
    <rPh sb="4" eb="7">
      <t>タダンロ</t>
    </rPh>
    <phoneticPr fontId="2"/>
  </si>
  <si>
    <t>石灰系</t>
    <rPh sb="0" eb="3">
      <t>セッカイケイ</t>
    </rPh>
    <phoneticPr fontId="2"/>
  </si>
  <si>
    <t>その他下水汚泥(多段吹込燃焼式流動床炉・二段燃焼式循環流動床炉・ストーカー炉)</t>
    <rPh sb="2" eb="3">
      <t>タ</t>
    </rPh>
    <rPh sb="3" eb="7">
      <t>ゲスイオデイ</t>
    </rPh>
    <rPh sb="8" eb="10">
      <t>タダン</t>
    </rPh>
    <rPh sb="10" eb="12">
      <t>フキコ</t>
    </rPh>
    <rPh sb="12" eb="14">
      <t>ネンショウ</t>
    </rPh>
    <rPh sb="14" eb="15">
      <t>シキ</t>
    </rPh>
    <rPh sb="15" eb="18">
      <t>リュウドウショウ</t>
    </rPh>
    <rPh sb="18" eb="19">
      <t>ロ</t>
    </rPh>
    <rPh sb="20" eb="22">
      <t>ニダン</t>
    </rPh>
    <rPh sb="22" eb="25">
      <t>ネンショウシキ</t>
    </rPh>
    <rPh sb="25" eb="27">
      <t>ジュンカン</t>
    </rPh>
    <rPh sb="27" eb="29">
      <t>リュウドウ</t>
    </rPh>
    <rPh sb="29" eb="30">
      <t>ユカ</t>
    </rPh>
    <rPh sb="30" eb="31">
      <t>ロ</t>
    </rPh>
    <rPh sb="37" eb="38">
      <t>ロ</t>
    </rPh>
    <phoneticPr fontId="2"/>
  </si>
  <si>
    <t>炭化固形燃料化炉</t>
    <rPh sb="0" eb="2">
      <t>タンカ</t>
    </rPh>
    <rPh sb="2" eb="7">
      <t>コケイネンリョウカ</t>
    </rPh>
    <rPh sb="7" eb="8">
      <t>ロ</t>
    </rPh>
    <phoneticPr fontId="2"/>
  </si>
  <si>
    <t>水処理プロセスからの排出についての適用排出係数(参考)</t>
    <rPh sb="0" eb="3">
      <t>ミズショリ</t>
    </rPh>
    <rPh sb="10" eb="12">
      <t>ハイシュツ</t>
    </rPh>
    <rPh sb="17" eb="19">
      <t>テキヨウ</t>
    </rPh>
    <rPh sb="19" eb="21">
      <t>ハイシュツ</t>
    </rPh>
    <rPh sb="21" eb="23">
      <t>ケイスウ</t>
    </rPh>
    <rPh sb="24" eb="26">
      <t>サンコウ</t>
    </rPh>
    <phoneticPr fontId="2"/>
  </si>
  <si>
    <t>　③汚泥焼却の高度化により78万t削減　　　</t>
    <rPh sb="2" eb="4">
      <t>オデイ</t>
    </rPh>
    <rPh sb="4" eb="6">
      <t>ショウキャク</t>
    </rPh>
    <rPh sb="7" eb="9">
      <t>コウド</t>
    </rPh>
    <rPh sb="9" eb="10">
      <t>カ</t>
    </rPh>
    <rPh sb="15" eb="16">
      <t>マン</t>
    </rPh>
    <rPh sb="17" eb="19">
      <t>サクゲン</t>
    </rPh>
    <phoneticPr fontId="2"/>
  </si>
  <si>
    <t>　④再生可能エネルギーの導入により1万t削減　　　       となっている。</t>
    <rPh sb="2" eb="4">
      <t>サイセイ</t>
    </rPh>
    <rPh sb="4" eb="6">
      <t>カノウ</t>
    </rPh>
    <rPh sb="12" eb="14">
      <t>ドウニュウ</t>
    </rPh>
    <rPh sb="18" eb="19">
      <t>マン</t>
    </rPh>
    <rPh sb="20" eb="22">
      <t>サクゲン</t>
    </rPh>
    <phoneticPr fontId="2"/>
  </si>
  <si>
    <t>④再生可能エネルギーの導入により1万t削減については</t>
    <phoneticPr fontId="2"/>
  </si>
  <si>
    <t>　ただし、「再エネ対策シート」や「追加対策シート」で対策検討することで、</t>
    <rPh sb="6" eb="7">
      <t>サイ</t>
    </rPh>
    <rPh sb="9" eb="11">
      <t>タイサク</t>
    </rPh>
    <rPh sb="17" eb="19">
      <t>ツイカ</t>
    </rPh>
    <rPh sb="19" eb="21">
      <t>タイサク</t>
    </rPh>
    <rPh sb="26" eb="28">
      <t>タイサク</t>
    </rPh>
    <rPh sb="28" eb="30">
      <t>ケントウ</t>
    </rPh>
    <phoneticPr fontId="2"/>
  </si>
  <si>
    <t>　削減量としてカウントすることは可能である。</t>
    <rPh sb="1" eb="4">
      <t>サクゲンリョウ</t>
    </rPh>
    <rPh sb="16" eb="18">
      <t>カノウ</t>
    </rPh>
    <phoneticPr fontId="2"/>
  </si>
  <si>
    <t xml:space="preserve"> t-CO₂/千m³削減が必要になる。</t>
    <phoneticPr fontId="5"/>
  </si>
  <si>
    <t xml:space="preserve"> t-CO₂/年削減が必要になる。</t>
    <rPh sb="7" eb="8">
      <t>ネン</t>
    </rPh>
    <phoneticPr fontId="5"/>
  </si>
  <si>
    <t>平均値とするのに
必要な残りの対策量</t>
    <rPh sb="0" eb="3">
      <t>ヘイキンチ</t>
    </rPh>
    <rPh sb="9" eb="11">
      <t>ヒツヨウ</t>
    </rPh>
    <rPh sb="12" eb="13">
      <t>ノコ</t>
    </rPh>
    <rPh sb="15" eb="18">
      <t>タイサクリョウ</t>
    </rPh>
    <phoneticPr fontId="2"/>
  </si>
  <si>
    <t>平均値への達成割合(%)</t>
    <rPh sb="0" eb="3">
      <t>ヘイキンチ</t>
    </rPh>
    <rPh sb="5" eb="7">
      <t>タッセイ</t>
    </rPh>
    <rPh sb="7" eb="9">
      <t>ワリアイ</t>
    </rPh>
    <phoneticPr fontId="2"/>
  </si>
  <si>
    <t>(参考)下水道分野における2013年、2018年の実績値(電力排出係数：0.25t-CO₂/千kWh)</t>
    <rPh sb="1" eb="3">
      <t>サンコウ</t>
    </rPh>
    <rPh sb="4" eb="7">
      <t>ゲスイドウ</t>
    </rPh>
    <rPh sb="7" eb="9">
      <t>ブンヤ</t>
    </rPh>
    <rPh sb="17" eb="18">
      <t>ネン</t>
    </rPh>
    <rPh sb="23" eb="24">
      <t>ネン</t>
    </rPh>
    <rPh sb="25" eb="28">
      <t>ジッセキチ</t>
    </rPh>
    <rPh sb="29" eb="31">
      <t>デンリョク</t>
    </rPh>
    <rPh sb="31" eb="33">
      <t>ハイシュツ</t>
    </rPh>
    <rPh sb="33" eb="35">
      <t>ケイスウ</t>
    </rPh>
    <phoneticPr fontId="2"/>
  </si>
  <si>
    <t>2018年実績値(2018年標準値との比較用)</t>
    <rPh sb="4" eb="5">
      <t>ネン</t>
    </rPh>
    <rPh sb="5" eb="8">
      <t>ジッセキチ</t>
    </rPh>
    <rPh sb="19" eb="21">
      <t>ヒカク</t>
    </rPh>
    <rPh sb="21" eb="22">
      <t>ヨウ</t>
    </rPh>
    <phoneticPr fontId="5"/>
  </si>
  <si>
    <t>・このシートでは現状の温室効果ガス排出量や標準的な処理場における温室効果ガス排出量を算出します。</t>
    <rPh sb="8" eb="10">
      <t>ゲンジョウ</t>
    </rPh>
    <rPh sb="11" eb="15">
      <t>オンシツコウカ</t>
    </rPh>
    <rPh sb="17" eb="20">
      <t>ハイシュツリョウ</t>
    </rPh>
    <rPh sb="23" eb="24">
      <t>テキ</t>
    </rPh>
    <rPh sb="25" eb="28">
      <t>ショリジョウ</t>
    </rPh>
    <rPh sb="32" eb="34">
      <t>オンシツ</t>
    </rPh>
    <rPh sb="34" eb="36">
      <t>コウカ</t>
    </rPh>
    <rPh sb="38" eb="40">
      <t>ハイシュツ</t>
    </rPh>
    <rPh sb="40" eb="41">
      <t>リョウ</t>
    </rPh>
    <rPh sb="42" eb="44">
      <t>サンシュツ</t>
    </rPh>
    <phoneticPr fontId="5"/>
  </si>
  <si>
    <t>←2030年度の全電源平均の電力排出係数：0.25kg-CO₂/kWh（出典：2030年度におけるエネルギー需給の見通し）</t>
    <rPh sb="11" eb="13">
      <t>ヘイキン</t>
    </rPh>
    <phoneticPr fontId="5"/>
  </si>
  <si>
    <t>2018年実績値をもとに各処理場の処理水量等の特性に応じた既存施設の標準的な値である「標準値」の算出を行う。</t>
    <rPh sb="4" eb="5">
      <t>ネン</t>
    </rPh>
    <rPh sb="5" eb="7">
      <t>ジッセキ</t>
    </rPh>
    <rPh sb="7" eb="8">
      <t>チ</t>
    </rPh>
    <rPh sb="12" eb="13">
      <t>カク</t>
    </rPh>
    <rPh sb="13" eb="16">
      <t>ショリジョウ</t>
    </rPh>
    <rPh sb="17" eb="19">
      <t>ショリ</t>
    </rPh>
    <rPh sb="19" eb="21">
      <t>スイリョウ</t>
    </rPh>
    <rPh sb="21" eb="22">
      <t>ナド</t>
    </rPh>
    <rPh sb="23" eb="25">
      <t>トクセイ</t>
    </rPh>
    <rPh sb="26" eb="27">
      <t>オウ</t>
    </rPh>
    <rPh sb="29" eb="31">
      <t>キゾン</t>
    </rPh>
    <rPh sb="31" eb="33">
      <t>シセツ</t>
    </rPh>
    <rPh sb="38" eb="39">
      <t>アタイ</t>
    </rPh>
    <rPh sb="48" eb="50">
      <t>サンシュツ</t>
    </rPh>
    <rPh sb="51" eb="52">
      <t>オコナ</t>
    </rPh>
    <phoneticPr fontId="5"/>
  </si>
  <si>
    <t>処理水量当たりの
温室効果ガス排出量の標準値</t>
  </si>
  <si>
    <t>・2018年標準値まで削減をするには</t>
    <rPh sb="5" eb="6">
      <t>ネン</t>
    </rPh>
    <rPh sb="11" eb="13">
      <t>サクゲン</t>
    </rPh>
    <phoneticPr fontId="5"/>
  </si>
  <si>
    <t>※2018年実績値ー2018年標準値</t>
    <rPh sb="5" eb="6">
      <t>ネン</t>
    </rPh>
    <rPh sb="6" eb="8">
      <t>ジッセキ</t>
    </rPh>
    <rPh sb="8" eb="9">
      <t>チ</t>
    </rPh>
    <rPh sb="14" eb="15">
      <t>ネン</t>
    </rPh>
    <phoneticPr fontId="5"/>
  </si>
  <si>
    <t>※マイナス値であれば標準以下</t>
    <rPh sb="5" eb="6">
      <t>チ</t>
    </rPh>
    <rPh sb="12" eb="14">
      <t>イカ</t>
    </rPh>
    <phoneticPr fontId="5"/>
  </si>
  <si>
    <t>7．標準値の算出</t>
    <rPh sb="4" eb="5">
      <t>チ</t>
    </rPh>
    <rPh sb="6" eb="8">
      <t>サンシュツ</t>
    </rPh>
    <phoneticPr fontId="5"/>
  </si>
  <si>
    <t>標準値</t>
    <phoneticPr fontId="2"/>
  </si>
  <si>
    <t>2018年標準値</t>
    <rPh sb="4" eb="5">
      <t>ネン</t>
    </rPh>
    <phoneticPr fontId="5"/>
  </si>
  <si>
    <t>○標準値算出</t>
    <rPh sb="3" eb="4">
      <t>チ</t>
    </rPh>
    <rPh sb="4" eb="6">
      <t>サンシュツ</t>
    </rPh>
    <phoneticPr fontId="5"/>
  </si>
  <si>
    <t>　更に本ツールにおいてはスラッジセンター等の汚泥再資源化施設を対象としていないため、2018年におけるスラッジセンター等の汚泥再資源化施設からの排出分である38万tを差し引き、</t>
    <rPh sb="1" eb="2">
      <t>サラ</t>
    </rPh>
    <rPh sb="83" eb="84">
      <t>サ</t>
    </rPh>
    <rPh sb="85" eb="86">
      <t>ヒ</t>
    </rPh>
    <phoneticPr fontId="2"/>
  </si>
  <si>
    <t>（省エネ、創エネ、焼却の高度化、再生可能エネルギーの導入による削減目標208万t-CO2削減目標設定ツール)</t>
    <rPh sb="46" eb="48">
      <t>モクヒョウ</t>
    </rPh>
    <rPh sb="48" eb="50">
      <t>セッテイ</t>
    </rPh>
    <phoneticPr fontId="5"/>
  </si>
  <si>
    <t>排出係数(実態に応じて変更可能)</t>
    <rPh sb="0" eb="2">
      <t>ハイシュツ</t>
    </rPh>
    <rPh sb="2" eb="4">
      <t>ケイスウ</t>
    </rPh>
    <rPh sb="5" eb="7">
      <t>ジッタイ</t>
    </rPh>
    <rPh sb="8" eb="9">
      <t>オウ</t>
    </rPh>
    <rPh sb="11" eb="13">
      <t>ヘンコウ</t>
    </rPh>
    <rPh sb="13" eb="15">
      <t>カノウ</t>
    </rPh>
    <phoneticPr fontId="5"/>
  </si>
  <si>
    <t>含水率(%でない)</t>
    <rPh sb="0" eb="3">
      <t>ガンスイリツ</t>
    </rPh>
    <phoneticPr fontId="2"/>
  </si>
  <si>
    <t>2013年実績値(2030年目標値(目安)決定)</t>
    <rPh sb="4" eb="5">
      <t>ネン</t>
    </rPh>
    <rPh sb="5" eb="8">
      <t>ジッセキチ</t>
    </rPh>
    <rPh sb="13" eb="14">
      <t>ネン</t>
    </rPh>
    <rPh sb="14" eb="17">
      <t>モクヒョウチ</t>
    </rPh>
    <rPh sb="21" eb="23">
      <t>ケッテイ</t>
    </rPh>
    <phoneticPr fontId="5"/>
  </si>
  <si>
    <t>5.　2030年における目標値(目安)の考え方について</t>
    <rPh sb="7" eb="8">
      <t>ネン</t>
    </rPh>
    <rPh sb="12" eb="14">
      <t>モクヒョウ</t>
    </rPh>
    <rPh sb="14" eb="15">
      <t>チ</t>
    </rPh>
    <rPh sb="20" eb="21">
      <t>カンガ</t>
    </rPh>
    <rPh sb="22" eb="23">
      <t>カタ</t>
    </rPh>
    <phoneticPr fontId="5"/>
  </si>
  <si>
    <t>　　各処理場において電力・燃料消費を2013年度実績値より年率2％削減するように目標値(目安)を設定。</t>
    <rPh sb="2" eb="6">
      <t>カクショリジョウ</t>
    </rPh>
    <rPh sb="10" eb="12">
      <t>デンリョク</t>
    </rPh>
    <rPh sb="13" eb="15">
      <t>ネンリョウ</t>
    </rPh>
    <rPh sb="15" eb="17">
      <t>ショウヒ</t>
    </rPh>
    <rPh sb="22" eb="24">
      <t>ネンド</t>
    </rPh>
    <rPh sb="24" eb="26">
      <t>ジッセキ</t>
    </rPh>
    <rPh sb="26" eb="27">
      <t>チ</t>
    </rPh>
    <rPh sb="29" eb="31">
      <t>ネンリツ</t>
    </rPh>
    <rPh sb="33" eb="35">
      <t>サクゲン</t>
    </rPh>
    <rPh sb="40" eb="43">
      <t>モクヒョウチ</t>
    </rPh>
    <rPh sb="48" eb="50">
      <t>セッテイ</t>
    </rPh>
    <phoneticPr fontId="2"/>
  </si>
  <si>
    <t>　残りの41万tをOD法以外の処理場において流量比に応じて配分することで目標値(目安)を設定。(2018年度を基準に目標値(目安)を設定)</t>
    <rPh sb="1" eb="2">
      <t>ノコ</t>
    </rPh>
    <rPh sb="6" eb="7">
      <t>マン</t>
    </rPh>
    <rPh sb="36" eb="39">
      <t>モクヒョウチ</t>
    </rPh>
    <rPh sb="44" eb="46">
      <t>セッテイ</t>
    </rPh>
    <rPh sb="52" eb="53">
      <t>ネン</t>
    </rPh>
    <rPh sb="53" eb="54">
      <t>ド</t>
    </rPh>
    <rPh sb="55" eb="57">
      <t>キジュン</t>
    </rPh>
    <rPh sb="58" eb="61">
      <t>モクヒョウチ</t>
    </rPh>
    <rPh sb="66" eb="68">
      <t>セッテイ</t>
    </rPh>
    <phoneticPr fontId="2"/>
  </si>
  <si>
    <t>　下水道事業全体で2013年から2018年にかけて削減した7万tを78万tから差し引き、残りの71万tを按分することで2018年度を基準に目標値(目安)を設定する。</t>
    <rPh sb="1" eb="4">
      <t>ゲスイドウ</t>
    </rPh>
    <rPh sb="4" eb="6">
      <t>ジギョウ</t>
    </rPh>
    <rPh sb="6" eb="8">
      <t>ゼンタイ</t>
    </rPh>
    <rPh sb="13" eb="14">
      <t>ネン</t>
    </rPh>
    <rPh sb="20" eb="21">
      <t>ネン</t>
    </rPh>
    <rPh sb="25" eb="27">
      <t>サクゲン</t>
    </rPh>
    <rPh sb="30" eb="31">
      <t>マン</t>
    </rPh>
    <rPh sb="35" eb="36">
      <t>マン</t>
    </rPh>
    <rPh sb="39" eb="40">
      <t>サ</t>
    </rPh>
    <rPh sb="41" eb="42">
      <t>ヒ</t>
    </rPh>
    <phoneticPr fontId="2"/>
  </si>
  <si>
    <t>　残りの33万t(=71-38)を焼却設備を有する処理場において流量比に応じて配分することで目標値(目安)を設定。(2018年度を基準に目標値(目安)を設定)</t>
    <rPh sb="1" eb="2">
      <t>ノコ</t>
    </rPh>
    <rPh sb="6" eb="7">
      <t>マン</t>
    </rPh>
    <phoneticPr fontId="2"/>
  </si>
  <si>
    <t>　他の削減量と比較して小さいため本ツールにおいては削減目標値(目安)の算出には含めない。</t>
    <rPh sb="1" eb="2">
      <t>タ</t>
    </rPh>
    <rPh sb="3" eb="6">
      <t>サクゲンリョウ</t>
    </rPh>
    <rPh sb="7" eb="9">
      <t>ヒカク</t>
    </rPh>
    <rPh sb="11" eb="12">
      <t>チイ</t>
    </rPh>
    <rPh sb="16" eb="17">
      <t>ホン</t>
    </rPh>
    <rPh sb="25" eb="27">
      <t>サクゲン</t>
    </rPh>
    <rPh sb="27" eb="30">
      <t>モクヒョウチ</t>
    </rPh>
    <rPh sb="35" eb="37">
      <t>サンシュツ</t>
    </rPh>
    <rPh sb="39" eb="40">
      <t>フク</t>
    </rPh>
    <phoneticPr fontId="2"/>
  </si>
  <si>
    <t>6.　2030年における目標値(目安)について</t>
    <phoneticPr fontId="5"/>
  </si>
  <si>
    <t>2018年実績値をもとに2030年の温室効果ガス削減量の目標値(目安)を算出する。</t>
    <rPh sb="16" eb="17">
      <t>ネン</t>
    </rPh>
    <rPh sb="18" eb="22">
      <t>オンシツコウカ</t>
    </rPh>
    <rPh sb="24" eb="27">
      <t>サクゲンリョウ</t>
    </rPh>
    <rPh sb="28" eb="31">
      <t>モクヒョウチ</t>
    </rPh>
    <rPh sb="36" eb="38">
      <t>サンシュツ</t>
    </rPh>
    <phoneticPr fontId="2"/>
  </si>
  <si>
    <t>①省エネの促進による削減目標値(目安)</t>
    <rPh sb="10" eb="12">
      <t>サクゲン</t>
    </rPh>
    <rPh sb="12" eb="15">
      <t>モクヒョウチ</t>
    </rPh>
    <phoneticPr fontId="2"/>
  </si>
  <si>
    <t>(目標値(目安)　年率2％削減した場合の数値)</t>
    <rPh sb="1" eb="4">
      <t>モクヒョウチ</t>
    </rPh>
    <rPh sb="9" eb="11">
      <t>ネンリツ</t>
    </rPh>
    <rPh sb="13" eb="15">
      <t>サクゲン</t>
    </rPh>
    <rPh sb="17" eb="19">
      <t>バアイ</t>
    </rPh>
    <rPh sb="20" eb="22">
      <t>スウチ</t>
    </rPh>
    <phoneticPr fontId="5"/>
  </si>
  <si>
    <t>削減目標値(目安)は</t>
    <rPh sb="0" eb="2">
      <t>サクゲン</t>
    </rPh>
    <rPh sb="2" eb="4">
      <t>モクヒョウ</t>
    </rPh>
    <rPh sb="4" eb="5">
      <t>チ</t>
    </rPh>
    <phoneticPr fontId="2"/>
  </si>
  <si>
    <t>②下水汚泥のエネルギー化(創エネ)による削減目標値(目安)</t>
    <rPh sb="20" eb="22">
      <t>サクゲン</t>
    </rPh>
    <rPh sb="22" eb="25">
      <t>モクヒョウチ</t>
    </rPh>
    <phoneticPr fontId="2"/>
  </si>
  <si>
    <t>削減目標値(目安)は</t>
    <rPh sb="0" eb="2">
      <t>サクゲン</t>
    </rPh>
    <rPh sb="2" eb="5">
      <t>モクヒョウチ</t>
    </rPh>
    <phoneticPr fontId="2"/>
  </si>
  <si>
    <t>③汚泥焼却の高度化による削減目標値(目安)</t>
    <rPh sb="12" eb="17">
      <t>サクゲンモクヒョウチ</t>
    </rPh>
    <phoneticPr fontId="2"/>
  </si>
  <si>
    <t>本処理場における2030年削減目標値(目安)の合計は</t>
    <rPh sb="0" eb="4">
      <t>ホンショリジョウ</t>
    </rPh>
    <rPh sb="12" eb="13">
      <t>ネン</t>
    </rPh>
    <rPh sb="13" eb="15">
      <t>サクゲン</t>
    </rPh>
    <rPh sb="15" eb="18">
      <t>モクヒョウチ</t>
    </rPh>
    <rPh sb="23" eb="25">
      <t>ゴウケイ</t>
    </rPh>
    <phoneticPr fontId="2"/>
  </si>
  <si>
    <t>2030年削減目標値(目安)</t>
    <rPh sb="4" eb="5">
      <t>ネン</t>
    </rPh>
    <rPh sb="5" eb="7">
      <t>サクゲン</t>
    </rPh>
    <rPh sb="7" eb="10">
      <t>モクヒョウチ</t>
    </rPh>
    <phoneticPr fontId="2"/>
  </si>
  <si>
    <t>2030年目標値(目安)</t>
    <rPh sb="4" eb="5">
      <t>ネン</t>
    </rPh>
    <rPh sb="5" eb="8">
      <t>モクヒョウチ</t>
    </rPh>
    <phoneticPr fontId="2"/>
  </si>
  <si>
    <t>※マイナス値であれば目標値(目安)、
平均値以上の対策が講じられています</t>
    <rPh sb="10" eb="12">
      <t>モクヒョウ</t>
    </rPh>
    <rPh sb="12" eb="13">
      <t>チ</t>
    </rPh>
    <rPh sb="19" eb="22">
      <t>ヘイキンチ</t>
    </rPh>
    <rPh sb="22" eb="24">
      <t>イジョウ</t>
    </rPh>
    <rPh sb="25" eb="27">
      <t>タイサク</t>
    </rPh>
    <rPh sb="28" eb="29">
      <t>コウ</t>
    </rPh>
    <phoneticPr fontId="2"/>
  </si>
  <si>
    <t>目標値(目安)とするのに
必要な残りの対策量</t>
    <rPh sb="0" eb="3">
      <t>モクヒョウチ</t>
    </rPh>
    <rPh sb="13" eb="15">
      <t>ヒツヨウ</t>
    </rPh>
    <rPh sb="16" eb="17">
      <t>ノコ</t>
    </rPh>
    <rPh sb="19" eb="22">
      <t>タイサクリョウ</t>
    </rPh>
    <phoneticPr fontId="2"/>
  </si>
  <si>
    <t>目標値(目安)への達成割合(%)</t>
    <rPh sb="0" eb="3">
      <t>モクヒョウチ</t>
    </rPh>
    <rPh sb="9" eb="11">
      <t>タッセイ</t>
    </rPh>
    <rPh sb="11" eb="13">
      <t>ワリアイ</t>
    </rPh>
    <phoneticPr fontId="2"/>
  </si>
  <si>
    <t>参考HP：http://www.nilim.go.jp/lab/ecg/bdash/h23_meta.htm</t>
    <rPh sb="0" eb="2">
      <t>サンコウ</t>
    </rPh>
    <phoneticPr fontId="2"/>
  </si>
  <si>
    <t>参考HP：http://www.nilim.go.jp/lab/ecg/bdash/h26_meta.htm</t>
    <rPh sb="0" eb="2">
      <t>サンコウ</t>
    </rPh>
    <phoneticPr fontId="2"/>
  </si>
  <si>
    <t>参考HP：http://www.nilim.go.jp/lab/ecg/bdash/h28_sanki.htm</t>
    <rPh sb="0" eb="2">
      <t>サンコウ</t>
    </rPh>
    <phoneticPr fontId="2"/>
  </si>
  <si>
    <t>参考HP：http://www.nilim.go.jp/lab/ecg/bdash/h26_hitachi.htm</t>
    <rPh sb="0" eb="2">
      <t>サンコウ</t>
    </rPh>
    <phoneticPr fontId="2"/>
  </si>
  <si>
    <t>参考HP：https://www.env.go.jp/earth/ondanka/gel/ghg-guideline/sewer/manuals.html</t>
    <rPh sb="0" eb="2">
      <t>サンコウ</t>
    </rPh>
    <phoneticPr fontId="2"/>
  </si>
  <si>
    <t>参考HP：https://www.jiwet.or.jp/publicity/publication/manuals</t>
    <rPh sb="0" eb="2">
      <t>サンコウ</t>
    </rPh>
    <phoneticPr fontId="2"/>
  </si>
  <si>
    <t>風速に関して一般社団法人日本風力発電協会によると事業性の観点から風力発電開発可能な自然条件は年平均6.0m/s以上とされています。</t>
    <rPh sb="0" eb="2">
      <t>フウソク</t>
    </rPh>
    <rPh sb="3" eb="4">
      <t>カン</t>
    </rPh>
    <rPh sb="6" eb="8">
      <t>イッパン</t>
    </rPh>
    <rPh sb="8" eb="10">
      <t>シャダン</t>
    </rPh>
    <rPh sb="10" eb="12">
      <t>ホウジン</t>
    </rPh>
    <rPh sb="12" eb="14">
      <t>ニホン</t>
    </rPh>
    <rPh sb="14" eb="16">
      <t>フウリョク</t>
    </rPh>
    <rPh sb="16" eb="18">
      <t>ハツデン</t>
    </rPh>
    <rPh sb="18" eb="20">
      <t>キョウカイ</t>
    </rPh>
    <rPh sb="24" eb="27">
      <t>ジギョウセイ</t>
    </rPh>
    <rPh sb="28" eb="30">
      <t>カンテン</t>
    </rPh>
    <rPh sb="32" eb="34">
      <t>フウリョク</t>
    </rPh>
    <rPh sb="34" eb="36">
      <t>ハツデン</t>
    </rPh>
    <rPh sb="36" eb="38">
      <t>カイハツ</t>
    </rPh>
    <rPh sb="38" eb="40">
      <t>カノウ</t>
    </rPh>
    <rPh sb="41" eb="45">
      <t>シゼンジョウケン</t>
    </rPh>
    <rPh sb="46" eb="47">
      <t>ネン</t>
    </rPh>
    <rPh sb="47" eb="49">
      <t>ヘイキン</t>
    </rPh>
    <rPh sb="55" eb="57">
      <t>イジョウ</t>
    </rPh>
    <phoneticPr fontId="2"/>
  </si>
  <si>
    <t>t-CO₂/千kWh</t>
    <phoneticPr fontId="2"/>
  </si>
  <si>
    <t>参考HP：http://www.nilim.go.jp/lab/ecg/bdash/h25_meta.htm</t>
    <rPh sb="0" eb="2">
      <t>サンコウ</t>
    </rPh>
    <phoneticPr fontId="2"/>
  </si>
  <si>
    <t>参考HP：http://www.nilim.go.jp/lab/ecg/bdash/h25_takuma.htm</t>
    <rPh sb="0" eb="2">
      <t>サンコウ</t>
    </rPh>
    <phoneticPr fontId="2"/>
  </si>
  <si>
    <t>参考HP：http://www.nilim.go.jp/lab/ecg/bdash/h29_jfe.htm</t>
    <rPh sb="0" eb="2">
      <t>サンコウ</t>
    </rPh>
    <phoneticPr fontId="2"/>
  </si>
  <si>
    <t>以降の計算シートは「温室効果ガス削減を考慮した発電型汚泥焼却技術の実用化に関する実証事業」における技術導入効果計算シートの転載になります。</t>
    <rPh sb="0" eb="2">
      <t>イコウ</t>
    </rPh>
    <rPh sb="3" eb="5">
      <t>ケイサン</t>
    </rPh>
    <rPh sb="49" eb="51">
      <t>ギジュツ</t>
    </rPh>
    <rPh sb="51" eb="53">
      <t>ドウニュウ</t>
    </rPh>
    <rPh sb="53" eb="55">
      <t>コウカ</t>
    </rPh>
    <rPh sb="55" eb="57">
      <t>ケイサン</t>
    </rPh>
    <rPh sb="61" eb="63">
      <t>テンサイ</t>
    </rPh>
    <phoneticPr fontId="2"/>
  </si>
  <si>
    <t>検討技術の詳細は「温室効果ガス削減を考慮した発電型汚泥焼却技術の実用化に関する実証事業」を参照してください</t>
    <rPh sb="0" eb="2">
      <t>ケントウ</t>
    </rPh>
    <rPh sb="2" eb="4">
      <t>ギジュツ</t>
    </rPh>
    <rPh sb="5" eb="7">
      <t>ショウサイ</t>
    </rPh>
    <rPh sb="45" eb="47">
      <t>サンショウ</t>
    </rPh>
    <phoneticPr fontId="2"/>
  </si>
  <si>
    <t>参考HP：http://www.nilim.go.jp/lab/ecg/bdash/h30_kobelco.htm</t>
    <rPh sb="0" eb="2">
      <t>サンコウ</t>
    </rPh>
    <phoneticPr fontId="2"/>
  </si>
  <si>
    <t>対策No.11</t>
  </si>
  <si>
    <t>対策No.12</t>
  </si>
  <si>
    <t>対策No.13</t>
  </si>
  <si>
    <t>対策No.14</t>
  </si>
  <si>
    <t>対策No.15</t>
  </si>
  <si>
    <t>対策No.16</t>
  </si>
  <si>
    <t>対策No.17</t>
  </si>
  <si>
    <t>対策No.18</t>
  </si>
  <si>
    <t>対策No.19</t>
  </si>
  <si>
    <t>対策No.20</t>
  </si>
  <si>
    <r>
      <t>Y=消費電力量（B）(千kWh/年)×0.25(t-CO</t>
    </r>
    <r>
      <rPr>
        <vertAlign val="subscript"/>
        <sz val="11"/>
        <color theme="1"/>
        <rFont val="游ゴシック"/>
        <family val="3"/>
        <charset val="128"/>
        <scheme val="minor"/>
      </rPr>
      <t>2</t>
    </r>
    <r>
      <rPr>
        <sz val="11"/>
        <color theme="1"/>
        <rFont val="游ゴシック"/>
        <family val="2"/>
        <charset val="128"/>
        <scheme val="minor"/>
      </rPr>
      <t>/千kWh)</t>
    </r>
    <rPh sb="2" eb="4">
      <t>ショウヒ</t>
    </rPh>
    <rPh sb="4" eb="6">
      <t>デンリョク</t>
    </rPh>
    <rPh sb="6" eb="7">
      <t>リョウ</t>
    </rPh>
    <rPh sb="11" eb="12">
      <t>セン</t>
    </rPh>
    <rPh sb="16" eb="17">
      <t>ネン</t>
    </rPh>
    <rPh sb="30" eb="31">
      <t>セン</t>
    </rPh>
    <phoneticPr fontId="2"/>
  </si>
  <si>
    <r>
      <t>Y=消費電力量（C）(千kWh/年)×0.25(t-CO</t>
    </r>
    <r>
      <rPr>
        <vertAlign val="subscript"/>
        <sz val="11"/>
        <color theme="1"/>
        <rFont val="游ゴシック"/>
        <family val="3"/>
        <charset val="128"/>
        <scheme val="minor"/>
      </rPr>
      <t>2</t>
    </r>
    <r>
      <rPr>
        <sz val="11"/>
        <color theme="1"/>
        <rFont val="游ゴシック"/>
        <family val="2"/>
        <charset val="128"/>
        <scheme val="minor"/>
      </rPr>
      <t>/千kWh)</t>
    </r>
    <rPh sb="2" eb="4">
      <t>ショウヒ</t>
    </rPh>
    <rPh sb="4" eb="6">
      <t>デンリョク</t>
    </rPh>
    <rPh sb="6" eb="7">
      <t>リョウ</t>
    </rPh>
    <rPh sb="11" eb="12">
      <t>セン</t>
    </rPh>
    <rPh sb="16" eb="17">
      <t>ネン</t>
    </rPh>
    <rPh sb="30" eb="31">
      <t>セン</t>
    </rPh>
    <phoneticPr fontId="2"/>
  </si>
  <si>
    <r>
      <t>Y=発電電力量（A）(千kWh/年)×0.25(t-CO</t>
    </r>
    <r>
      <rPr>
        <vertAlign val="subscript"/>
        <sz val="11"/>
        <color theme="1"/>
        <rFont val="游ゴシック"/>
        <family val="3"/>
        <charset val="128"/>
        <scheme val="minor"/>
      </rPr>
      <t>2</t>
    </r>
    <r>
      <rPr>
        <sz val="11"/>
        <color theme="1"/>
        <rFont val="游ゴシック"/>
        <family val="2"/>
        <charset val="128"/>
        <scheme val="minor"/>
      </rPr>
      <t>/千kWh)</t>
    </r>
    <rPh sb="2" eb="4">
      <t>ハツデン</t>
    </rPh>
    <phoneticPr fontId="2"/>
  </si>
  <si>
    <t>対策項目</t>
    <rPh sb="0" eb="2">
      <t>タイサク</t>
    </rPh>
    <rPh sb="2" eb="4">
      <t>コウモク</t>
    </rPh>
    <phoneticPr fontId="2"/>
  </si>
  <si>
    <t>削減量</t>
    <rPh sb="0" eb="3">
      <t>サクゲンリョウ</t>
    </rPh>
    <phoneticPr fontId="2"/>
  </si>
  <si>
    <t>全体に対する寄与率
(削減量÷2018年実績値×100)</t>
    <rPh sb="0" eb="2">
      <t>ゼンタイ</t>
    </rPh>
    <rPh sb="3" eb="4">
      <t>タイ</t>
    </rPh>
    <rPh sb="6" eb="9">
      <t>キヨリツ</t>
    </rPh>
    <rPh sb="11" eb="14">
      <t>サクゲンリョウ</t>
    </rPh>
    <rPh sb="19" eb="20">
      <t>ネン</t>
    </rPh>
    <rPh sb="20" eb="23">
      <t>ジッセキチ</t>
    </rPh>
    <phoneticPr fontId="2"/>
  </si>
  <si>
    <t>水処理対策シート対策項目</t>
  </si>
  <si>
    <t>汚泥処理対策シート対策項目</t>
    <rPh sb="0" eb="4">
      <t>オデイショリ</t>
    </rPh>
    <rPh sb="4" eb="6">
      <t>タイサク</t>
    </rPh>
    <rPh sb="9" eb="11">
      <t>タイサク</t>
    </rPh>
    <rPh sb="11" eb="13">
      <t>コウモク</t>
    </rPh>
    <phoneticPr fontId="2"/>
  </si>
  <si>
    <t>再エネ対策シート対策項目</t>
    <rPh sb="0" eb="1">
      <t>サイ</t>
    </rPh>
    <rPh sb="3" eb="5">
      <t>タイサク</t>
    </rPh>
    <rPh sb="8" eb="10">
      <t>タイサク</t>
    </rPh>
    <rPh sb="10" eb="12">
      <t>コウモク</t>
    </rPh>
    <phoneticPr fontId="2"/>
  </si>
  <si>
    <t>追加対策シート対策項目</t>
    <rPh sb="0" eb="2">
      <t>ツイカ</t>
    </rPh>
    <rPh sb="2" eb="4">
      <t>タイサク</t>
    </rPh>
    <rPh sb="7" eb="9">
      <t>タイサク</t>
    </rPh>
    <rPh sb="9" eb="11">
      <t>コウモク</t>
    </rPh>
    <phoneticPr fontId="2"/>
  </si>
  <si>
    <t>合計</t>
    <rPh sb="0" eb="2">
      <t>ゴウケイ</t>
    </rPh>
    <phoneticPr fontId="2"/>
  </si>
  <si>
    <t>参考文献等</t>
    <phoneticPr fontId="2"/>
  </si>
  <si>
    <t>課題解決技術支援ツール（試行版）   https://sewage-tech.net/　</t>
  </si>
  <si>
    <r>
      <t>こちらの</t>
    </r>
    <r>
      <rPr>
        <sz val="10.5"/>
        <color rgb="FF222222"/>
        <rFont val="Arial"/>
        <family val="2"/>
      </rPr>
      <t>URL</t>
    </r>
    <r>
      <rPr>
        <sz val="10.5"/>
        <color rgb="FF222222"/>
        <rFont val="游明朝"/>
        <family val="1"/>
        <charset val="128"/>
      </rPr>
      <t>にて省エネや創エネ等を検索いただくと様々な脱炭素に資する技術のマニュアルが確認できます。</t>
    </r>
  </si>
  <si>
    <t>下記に一例を示します。</t>
  </si>
  <si>
    <r>
      <t>①下水道における地球温暖化対策マニュアル（環境省・国土交通省　</t>
    </r>
    <r>
      <rPr>
        <sz val="10.5"/>
        <color rgb="FF222222"/>
        <rFont val="Arial"/>
        <family val="2"/>
      </rPr>
      <t>2016</t>
    </r>
    <r>
      <rPr>
        <sz val="10.5"/>
        <color rgb="FF222222"/>
        <rFont val="游明朝"/>
        <family val="1"/>
        <charset val="128"/>
      </rPr>
      <t>年</t>
    </r>
    <r>
      <rPr>
        <sz val="10.5"/>
        <color rgb="FF222222"/>
        <rFont val="Arial"/>
        <family val="2"/>
      </rPr>
      <t>3</t>
    </r>
    <r>
      <rPr>
        <sz val="10.5"/>
        <color rgb="FF222222"/>
        <rFont val="游明朝"/>
        <family val="1"/>
        <charset val="128"/>
      </rPr>
      <t>月）</t>
    </r>
  </si>
  <si>
    <t>https://www.env.go.jp/earth/ondanka/gel/ghg-guideline/sewer/manuals.html</t>
    <phoneticPr fontId="2"/>
  </si>
  <si>
    <r>
      <t>②下水処理場のエネルギー最適化に向けた省エネ技術導入マニュアル（案）</t>
    </r>
    <r>
      <rPr>
        <sz val="10.5"/>
        <color rgb="FF222222"/>
        <rFont val="游明朝"/>
        <family val="1"/>
        <charset val="128"/>
      </rPr>
      <t>（国土交通省　水管理・国土保全局　下水道部　</t>
    </r>
    <r>
      <rPr>
        <sz val="10.5"/>
        <color rgb="FF222222"/>
        <rFont val="Arial"/>
        <family val="2"/>
      </rPr>
      <t>2019</t>
    </r>
    <r>
      <rPr>
        <sz val="10.5"/>
        <color rgb="FF222222"/>
        <rFont val="游明朝"/>
        <family val="1"/>
        <charset val="128"/>
      </rPr>
      <t>年</t>
    </r>
    <r>
      <rPr>
        <sz val="10.5"/>
        <color rgb="FF222222"/>
        <rFont val="Arial"/>
        <family val="2"/>
      </rPr>
      <t>6</t>
    </r>
    <r>
      <rPr>
        <sz val="10.5"/>
        <color rgb="FF222222"/>
        <rFont val="游明朝"/>
        <family val="1"/>
        <charset val="128"/>
      </rPr>
      <t>月）</t>
    </r>
    <phoneticPr fontId="2"/>
  </si>
  <si>
    <r>
      <t>③</t>
    </r>
    <r>
      <rPr>
        <sz val="10.5"/>
        <color theme="1"/>
        <rFont val="游明朝"/>
        <family val="1"/>
        <charset val="128"/>
      </rPr>
      <t>OD法における省エネ対策に関する参考文献：</t>
    </r>
  </si>
  <si>
    <t>オキシデーションディッチ法の省エネ技術に関する技術資料(公益財団法人　日本下水道新技術機構　2017年3月）</t>
  </si>
  <si>
    <t>④運転管理改善手法に関する参考文献：</t>
    <phoneticPr fontId="2"/>
  </si>
  <si>
    <t>下水処理場の省エネ診断に関する技術マニュアル(公益財団法人　日本下水道新技術機構　2022年9月)　</t>
  </si>
  <si>
    <t>特に対策メニューの少ないODにおける省エネ対策や運転管理改善手法については③、④を参考にされたい。</t>
    <phoneticPr fontId="2"/>
  </si>
  <si>
    <t>https://www.mlit.go.jp/mizukokudo/sewerage/mizukokudo_sewerage_tk_000379.html</t>
    <phoneticPr fontId="2"/>
  </si>
  <si>
    <t>https://www.jiwet.or.jp/publicity/publication/manuals</t>
    <phoneticPr fontId="2"/>
  </si>
  <si>
    <t>このブックを以前のファイル形式で保存した場合、または以前のバージョンの Microsoft Excel で開いた場合、一覧表示されている機能は利用できなくなります。</t>
  </si>
  <si>
    <t>出現数</t>
  </si>
  <si>
    <t>バージョン</t>
  </si>
  <si>
    <t>Excel 97-2003</t>
  </si>
  <si>
    <t>再現性の低下</t>
  </si>
  <si>
    <t>選択したファイル形式でサポートされていない書式が、このブック内の一部のセルまたはスタイルに設定されています。このような書式は、選択したファイル形式で使用できる最も近い書式に変換されます。</t>
  </si>
  <si>
    <t>資料編3　削減目標208万t-CO2削減に対応したツール(ツール本体) - 互換性あり.xlsx の互換性レポート</t>
  </si>
  <si>
    <t>・水処理の分類（複数の水処理方法を採用している場合、流入水量の比率が多い方法を選択してください。）
①OD法：オキシデーションディッチ法、高度処理オキシデーションディッチ法
②高度処理：嫌気無酸素好気法、循環式硝化脱窒法、硝化内生脱窒法、ステップ流入式多段硝化脱窒法、嫌気好気活性汚泥法
③標準法：標準活性汚泥法、その他上記に記載が無い水処理方法</t>
    <phoneticPr fontId="5"/>
  </si>
  <si>
    <t>⇒水処理の分類より最も現状に合うものを選択して下さい。</t>
    <rPh sb="1" eb="4">
      <t>ミズショリ</t>
    </rPh>
    <rPh sb="5" eb="7">
      <t>ブンルイ</t>
    </rPh>
    <rPh sb="9" eb="10">
      <t>モット</t>
    </rPh>
    <rPh sb="11" eb="13">
      <t>ゲンジョウ</t>
    </rPh>
    <rPh sb="14" eb="15">
      <t>ア</t>
    </rPh>
    <rPh sb="19" eb="21">
      <t>センタク</t>
    </rPh>
    <rPh sb="23" eb="24">
      <t>クダ</t>
    </rPh>
    <phoneticPr fontId="5"/>
  </si>
  <si>
    <t>2023/3/23 14:03 に実行</t>
  </si>
  <si>
    <t>2030年
目標値(目安)</t>
    <rPh sb="4" eb="5">
      <t>ネン</t>
    </rPh>
    <rPh sb="6" eb="9">
      <t>モクヒョウチ</t>
    </rPh>
    <phoneticPr fontId="2"/>
  </si>
  <si>
    <t>下水処理場における温室効果ガス排出量削減目標・実現手法設定支援ツール</t>
    <rPh sb="0" eb="5">
      <t>ゲスイショリジョウ</t>
    </rPh>
    <rPh sb="9" eb="13">
      <t>オンシツコウカ</t>
    </rPh>
    <rPh sb="15" eb="18">
      <t>ハイシュツリョウ</t>
    </rPh>
    <rPh sb="18" eb="20">
      <t>サクゲン</t>
    </rPh>
    <rPh sb="20" eb="22">
      <t>モクヒョウ</t>
    </rPh>
    <rPh sb="23" eb="25">
      <t>ジツゲン</t>
    </rPh>
    <rPh sb="25" eb="27">
      <t>シュホウ</t>
    </rPh>
    <rPh sb="27" eb="29">
      <t>セッテイ</t>
    </rPh>
    <rPh sb="29" eb="31">
      <t>シエン</t>
    </rPh>
    <phoneticPr fontId="2"/>
  </si>
  <si>
    <t>・汚泥処理対策No.5 【B－DASH】脱水・燃焼・発電を全体最適化した革新的下水汚泥エネルギー転換システム</t>
    <rPh sb="1" eb="3">
      <t>オデイ</t>
    </rPh>
    <rPh sb="3" eb="5">
      <t>ショリ</t>
    </rPh>
    <rPh sb="5" eb="7">
      <t>タイサク</t>
    </rPh>
    <phoneticPr fontId="2"/>
  </si>
  <si>
    <t>・汚泥処理対策No.6 【B－DASH】下水道バイオマスからの電力創造システム</t>
    <rPh sb="1" eb="3">
      <t>オデイ</t>
    </rPh>
    <rPh sb="3" eb="5">
      <t>ショリ</t>
    </rPh>
    <rPh sb="5" eb="7">
      <t>タイサク</t>
    </rPh>
    <phoneticPr fontId="2"/>
  </si>
  <si>
    <t>・汚泥処理対策No.7 【B－DASH】温室効果ガス削減を考慮した発電型汚泥焼却技術</t>
    <rPh sb="1" eb="3">
      <t>オデイ</t>
    </rPh>
    <rPh sb="3" eb="5">
      <t>ショリ</t>
    </rPh>
    <rPh sb="5" eb="7">
      <t>タイサク</t>
    </rPh>
    <phoneticPr fontId="2"/>
  </si>
  <si>
    <t>・汚泥処理対策No.8 【B－DASH】低コスト・省エネルギー型高濃度メタン発酵技術</t>
    <rPh sb="1" eb="3">
      <t>オデイ</t>
    </rPh>
    <rPh sb="3" eb="5">
      <t>ショリ</t>
    </rPh>
    <rPh sb="5" eb="7">
      <t>タイサク</t>
    </rPh>
    <phoneticPr fontId="2"/>
  </si>
  <si>
    <t>・汚泥処理対策No.9 【B－DASH】高濃度消化・省エネ型バイオガス精製による効率的エネルギー利活用技術</t>
    <rPh sb="1" eb="3">
      <t>オデイ</t>
    </rPh>
    <rPh sb="3" eb="5">
      <t>ショリ</t>
    </rPh>
    <rPh sb="5" eb="7">
      <t>タイサク</t>
    </rPh>
    <phoneticPr fontId="2"/>
  </si>
  <si>
    <t>・汚泥処理対策No.4  固形燃料化技術の導入</t>
    <rPh sb="1" eb="3">
      <t>オデイ</t>
    </rPh>
    <rPh sb="3" eb="5">
      <t>ショリ</t>
    </rPh>
    <rPh sb="5" eb="7">
      <t>タイサク</t>
    </rPh>
    <rPh sb="13" eb="17">
      <t>コケイネンリョウ</t>
    </rPh>
    <rPh sb="17" eb="18">
      <t>カ</t>
    </rPh>
    <rPh sb="18" eb="20">
      <t>ギジュツ</t>
    </rPh>
    <rPh sb="21" eb="23">
      <t>ドウニュウ</t>
    </rPh>
    <phoneticPr fontId="2"/>
  </si>
  <si>
    <t>【B－DASH】脱水・燃焼・発電を全体最適化した革新的下水汚泥エネルギー転換システム</t>
    <rPh sb="8" eb="10">
      <t>ダッスイ</t>
    </rPh>
    <phoneticPr fontId="2"/>
  </si>
  <si>
    <t>革新的技術</t>
    <rPh sb="0" eb="5">
      <t>カクシンテキギジュツ</t>
    </rPh>
    <phoneticPr fontId="2"/>
  </si>
  <si>
    <t>※風車直径の目安では60m～120mとなっています。</t>
    <rPh sb="1" eb="5">
      <t>フウシャチョッケイ</t>
    </rPh>
    <rPh sb="6" eb="8">
      <t>メヤス</t>
    </rPh>
    <phoneticPr fontId="2"/>
  </si>
  <si>
    <t>※空気密度の目安として平地では1.2kg/m³となっています。</t>
    <rPh sb="1" eb="3">
      <t>クウキ</t>
    </rPh>
    <rPh sb="3" eb="5">
      <t>ミツド</t>
    </rPh>
    <rPh sb="6" eb="8">
      <t>メヤス</t>
    </rPh>
    <rPh sb="11" eb="13">
      <t>ヘイチ</t>
    </rPh>
    <phoneticPr fontId="2"/>
  </si>
  <si>
    <t>※設置面積当たりの出力の目安として技術資料では170W/m²となっています。</t>
    <rPh sb="1" eb="5">
      <t>セッチメンセキ</t>
    </rPh>
    <rPh sb="5" eb="6">
      <t>ア</t>
    </rPh>
    <rPh sb="9" eb="11">
      <t>シュツリョク</t>
    </rPh>
    <rPh sb="17" eb="21">
      <t>ギジュツシリョウ</t>
    </rPh>
    <phoneticPr fontId="2"/>
  </si>
  <si>
    <t>対象面積（m²）</t>
    <rPh sb="0" eb="4">
      <t>タイショウメンセキ</t>
    </rPh>
    <phoneticPr fontId="2"/>
  </si>
  <si>
    <t>http://www.nilim.go.jp/lab/ecg/bdash/h30_ohara.htm</t>
    <phoneticPr fontId="2"/>
  </si>
  <si>
    <t>参考HP：</t>
    <rPh sb="0" eb="2">
      <t>サンコウ</t>
    </rPh>
    <phoneticPr fontId="2"/>
  </si>
  <si>
    <t>汚泥処理設備の消費電力量</t>
    <rPh sb="0" eb="4">
      <t>オデイショリ</t>
    </rPh>
    <rPh sb="4" eb="6">
      <t>セツビ</t>
    </rPh>
    <rPh sb="7" eb="9">
      <t>ショウヒ</t>
    </rPh>
    <rPh sb="9" eb="11">
      <t>デンリョク</t>
    </rPh>
    <rPh sb="11" eb="12">
      <t>リョウ</t>
    </rPh>
    <phoneticPr fontId="2"/>
  </si>
  <si>
    <t>日平均処理水量</t>
    <rPh sb="0" eb="3">
      <t>ニチヘイキン</t>
    </rPh>
    <rPh sb="3" eb="7">
      <t>ショリスイリョウ</t>
    </rPh>
    <phoneticPr fontId="2"/>
  </si>
  <si>
    <t>新技術電力原単位</t>
    <rPh sb="0" eb="3">
      <t>シンギジュツ</t>
    </rPh>
    <rPh sb="3" eb="5">
      <t>デンリョク</t>
    </rPh>
    <rPh sb="5" eb="8">
      <t>ゲンタンイ</t>
    </rPh>
    <phoneticPr fontId="2"/>
  </si>
  <si>
    <t>千m³/年</t>
    <rPh sb="0" eb="1">
      <t>セン</t>
    </rPh>
    <rPh sb="4" eb="5">
      <t>ネン</t>
    </rPh>
    <phoneticPr fontId="2"/>
  </si>
  <si>
    <t>千kWh/千m³</t>
    <rPh sb="5" eb="6">
      <t>セン</t>
    </rPh>
    <phoneticPr fontId="2"/>
  </si>
  <si>
    <t>①</t>
    <phoneticPr fontId="2"/>
  </si>
  <si>
    <t>②</t>
    <phoneticPr fontId="2"/>
  </si>
  <si>
    <t>③</t>
    <phoneticPr fontId="2"/>
  </si>
  <si>
    <t>④</t>
    <phoneticPr fontId="2"/>
  </si>
  <si>
    <t>⑤</t>
    <phoneticPr fontId="2"/>
  </si>
  <si>
    <t>計算式</t>
    <rPh sb="0" eb="3">
      <t>ケイサンシキ</t>
    </rPh>
    <phoneticPr fontId="2"/>
  </si>
  <si>
    <t>②×③</t>
    <phoneticPr fontId="2"/>
  </si>
  <si>
    <t>（①－④）×⑤</t>
    <phoneticPr fontId="2"/>
  </si>
  <si>
    <t>合計(排出のみ）</t>
    <phoneticPr fontId="2"/>
  </si>
  <si>
    <t>合計(発電分含む）</t>
    <phoneticPr fontId="2"/>
  </si>
  <si>
    <t>※参考　低位発熱量の全国平均値『混合生汚泥は17,586 kJ/kg-DS、消化汚泥は15,872 kJ/kg-DS』</t>
    <rPh sb="1" eb="3">
      <t>サンコウ</t>
    </rPh>
    <rPh sb="4" eb="9">
      <t>テイイハツネツリョウ</t>
    </rPh>
    <rPh sb="10" eb="15">
      <t>ゼンコクヘイキンチ</t>
    </rPh>
    <rPh sb="16" eb="18">
      <t>コンゴウ</t>
    </rPh>
    <rPh sb="18" eb="19">
      <t>ナマ</t>
    </rPh>
    <rPh sb="19" eb="21">
      <t>オデイ</t>
    </rPh>
    <rPh sb="38" eb="42">
      <t>ショウカオデイ</t>
    </rPh>
    <phoneticPr fontId="2"/>
  </si>
  <si>
    <r>
      <t>N</t>
    </r>
    <r>
      <rPr>
        <vertAlign val="subscript"/>
        <sz val="11"/>
        <rFont val="游ゴシック"/>
        <family val="3"/>
        <charset val="128"/>
        <scheme val="minor"/>
      </rPr>
      <t>2</t>
    </r>
    <r>
      <rPr>
        <sz val="11"/>
        <rFont val="游ゴシック"/>
        <family val="3"/>
        <charset val="128"/>
        <scheme val="minor"/>
      </rPr>
      <t>O排出量原単位
(kg-N</t>
    </r>
    <r>
      <rPr>
        <vertAlign val="subscript"/>
        <sz val="11"/>
        <rFont val="游ゴシック"/>
        <family val="3"/>
        <charset val="128"/>
        <scheme val="minor"/>
      </rPr>
      <t>2</t>
    </r>
    <r>
      <rPr>
        <sz val="11"/>
        <rFont val="游ゴシック"/>
        <family val="3"/>
        <charset val="128"/>
        <scheme val="minor"/>
      </rPr>
      <t>O/wet-t)
※高温焼却時</t>
    </r>
    <rPh sb="3" eb="5">
      <t>ハイシュツ</t>
    </rPh>
    <rPh sb="5" eb="6">
      <t>リョウ</t>
    </rPh>
    <rPh sb="6" eb="9">
      <t>ゲンタンイ</t>
    </rPh>
    <rPh sb="26" eb="28">
      <t>コウオン</t>
    </rPh>
    <rPh sb="28" eb="30">
      <t>ショウキャク</t>
    </rPh>
    <rPh sb="30" eb="31">
      <t>ジ</t>
    </rPh>
    <phoneticPr fontId="2"/>
  </si>
  <si>
    <t>Y=N2O排出量原単位(kg-N2O/wet-t)×稼働日数(日/年)×投入汚泥量(wet-t/日)</t>
    <rPh sb="26" eb="28">
      <t>カドウ</t>
    </rPh>
    <rPh sb="28" eb="30">
      <t>ニッスウ</t>
    </rPh>
    <rPh sb="31" eb="32">
      <t>ヒ</t>
    </rPh>
    <rPh sb="33" eb="34">
      <t>ネン</t>
    </rPh>
    <phoneticPr fontId="2"/>
  </si>
  <si>
    <t>※設置面積に対して、維持管理の動線確保などの要因を含めて技術資料では0.7を乗数としています。</t>
    <rPh sb="1" eb="5">
      <t>セッチメンセキ</t>
    </rPh>
    <rPh sb="6" eb="7">
      <t>タイ</t>
    </rPh>
    <rPh sb="10" eb="14">
      <t>イジカンリ</t>
    </rPh>
    <rPh sb="15" eb="17">
      <t>ドウセン</t>
    </rPh>
    <rPh sb="17" eb="19">
      <t>カクホ</t>
    </rPh>
    <rPh sb="22" eb="24">
      <t>ヨウイン</t>
    </rPh>
    <rPh sb="25" eb="26">
      <t>フク</t>
    </rPh>
    <rPh sb="28" eb="32">
      <t>ギジュツシリョウ</t>
    </rPh>
    <rPh sb="38" eb="40">
      <t>ジョウスウ</t>
    </rPh>
    <phoneticPr fontId="2"/>
  </si>
  <si>
    <t>大規模(100,000m³/日）</t>
    <phoneticPr fontId="2"/>
  </si>
  <si>
    <t>100,000m³/日～</t>
    <phoneticPr fontId="2"/>
  </si>
  <si>
    <t>10,000m³/日～100,000m³/日</t>
    <rPh sb="8" eb="9">
      <t>ニチ</t>
    </rPh>
    <phoneticPr fontId="2"/>
  </si>
  <si>
    <r>
      <t>2013年実績値</t>
    </r>
    <r>
      <rPr>
        <b/>
        <sz val="11"/>
        <rFont val="游ゴシック"/>
        <family val="3"/>
        <charset val="128"/>
        <scheme val="minor"/>
      </rPr>
      <t>を</t>
    </r>
    <r>
      <rPr>
        <b/>
        <sz val="11"/>
        <color theme="1"/>
        <rFont val="游ゴシック"/>
        <family val="3"/>
        <charset val="128"/>
        <scheme val="minor"/>
      </rPr>
      <t>もとに2030年度における目標値(目安)の算出を行う。</t>
    </r>
    <rPh sb="16" eb="18">
      <t>ネンド</t>
    </rPh>
    <rPh sb="22" eb="25">
      <t>モクヒョウチ</t>
    </rPh>
    <rPh sb="30" eb="32">
      <t>サンシュツ</t>
    </rPh>
    <rPh sb="33" eb="34">
      <t>オコナ</t>
    </rPh>
    <phoneticPr fontId="5"/>
  </si>
  <si>
    <t>2018年実績値</t>
    <phoneticPr fontId="2"/>
  </si>
  <si>
    <t>2013年エネルギー消費にかかる温室効果ガス排出量</t>
    <rPh sb="10" eb="12">
      <t>ショウヒ</t>
    </rPh>
    <phoneticPr fontId="5"/>
  </si>
  <si>
    <r>
      <t>2018年実績値と</t>
    </r>
    <r>
      <rPr>
        <b/>
        <sz val="11"/>
        <color theme="1"/>
        <rFont val="游ゴシック"/>
        <family val="3"/>
        <charset val="128"/>
        <scheme val="minor"/>
      </rPr>
      <t>2030年度目標値(目安)から削減目標</t>
    </r>
    <r>
      <rPr>
        <b/>
        <sz val="11"/>
        <color rgb="FFFF0000"/>
        <rFont val="游ゴシック"/>
        <family val="3"/>
        <charset val="128"/>
        <scheme val="minor"/>
      </rPr>
      <t>を算出する</t>
    </r>
    <rPh sb="13" eb="15">
      <t>ネンド</t>
    </rPh>
    <rPh sb="15" eb="18">
      <t>モクヒョウチ</t>
    </rPh>
    <rPh sb="24" eb="28">
      <t>サクゲンモクヒョウ</t>
    </rPh>
    <rPh sb="29" eb="31">
      <t>サンシュツ</t>
    </rPh>
    <phoneticPr fontId="5"/>
  </si>
  <si>
    <t>※0であれば目標値以下</t>
    <rPh sb="6" eb="8">
      <t>モクヒョウ</t>
    </rPh>
    <rPh sb="8" eb="9">
      <t>チ</t>
    </rPh>
    <rPh sb="9" eb="11">
      <t>イカ</t>
    </rPh>
    <phoneticPr fontId="5"/>
  </si>
  <si>
    <t>※表3-20の総計と数値が異なるのは『②薬品・上水利用に伴う温室効果ガス排出量』を除外しているため。</t>
    <rPh sb="1" eb="2">
      <t>ヒョウ</t>
    </rPh>
    <rPh sb="7" eb="9">
      <t>ソウケイ</t>
    </rPh>
    <rPh sb="10" eb="12">
      <t>スウチ</t>
    </rPh>
    <rPh sb="13" eb="14">
      <t>コト</t>
    </rPh>
    <rPh sb="20" eb="22">
      <t>ヤクヒン</t>
    </rPh>
    <rPh sb="23" eb="27">
      <t>ジョウスイリヨウ</t>
    </rPh>
    <rPh sb="28" eb="29">
      <t>トモナ</t>
    </rPh>
    <rPh sb="30" eb="34">
      <t>オンシツコウカ</t>
    </rPh>
    <rPh sb="36" eb="39">
      <t>ハイシュツリョウ</t>
    </rPh>
    <rPh sb="41" eb="43">
      <t>ジョガイ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</si>
</sst>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76" formatCode="0.0"/>
    <numFmt numFmtId="177" formatCode="#,##0_ "/>
    <numFmt numFmtId="178" formatCode="#,##0.0_ "/>
    <numFmt numFmtId="179" formatCode="0.0%"/>
    <numFmt numFmtId="180" formatCode="0.0_ "/>
    <numFmt numFmtId="181" formatCode="0_ "/>
    <numFmt numFmtId="182" formatCode="0.00_ "/>
    <numFmt numFmtId="183" formatCode="0_);[Red]\(0\)"/>
    <numFmt numFmtId="184" formatCode="#,##0_);[Red]\(#,##0\)"/>
    <numFmt numFmtId="185" formatCode="0.0_);[Red]\(0.0\)"/>
    <numFmt numFmtId="186" formatCode="0.000_ "/>
    <numFmt numFmtId="187" formatCode="#,##0.000_ "/>
    <numFmt numFmtId="188" formatCode="#,##0.00_ "/>
    <numFmt numFmtId="189" formatCode="#,##0.0"/>
    <numFmt numFmtId="190" formatCode="0.0000"/>
    <numFmt numFmtId="191" formatCode="#,##0.0;[Red]\-#,##0.0"/>
  </numFmts>
  <fonts count="69" x14ac:knownFonts="1">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vertAlign val="superscript"/>
      <sz val="11"/>
      <color theme="1"/>
      <name val="游ゴシック"/>
      <family val="3"/>
      <charset val="128"/>
      <scheme val="minor"/>
    </font>
    <font>
      <b/>
      <sz val="11"/>
      <color theme="1"/>
      <name val="游ゴシック"/>
      <family val="3"/>
      <charset val="128"/>
      <scheme val="minor"/>
    </font>
    <font>
      <sz val="11"/>
      <color theme="1"/>
      <name val="游ゴシック"/>
      <family val="3"/>
      <charset val="128"/>
      <scheme val="minor"/>
    </font>
    <font>
      <b/>
      <sz val="11"/>
      <color rgb="FFFF0000"/>
      <name val="游ゴシック"/>
      <family val="3"/>
      <charset val="128"/>
      <scheme val="minor"/>
    </font>
    <font>
      <b/>
      <sz val="16"/>
      <color theme="1"/>
      <name val="游ゴシック"/>
      <family val="3"/>
      <charset val="128"/>
      <scheme val="minor"/>
    </font>
    <font>
      <sz val="11"/>
      <name val="游ゴシック"/>
      <family val="3"/>
      <charset val="128"/>
      <scheme val="minor"/>
    </font>
    <font>
      <b/>
      <vertAlign val="superscript"/>
      <sz val="11"/>
      <color theme="1"/>
      <name val="游ゴシック"/>
      <family val="3"/>
      <charset val="128"/>
      <scheme val="minor"/>
    </font>
    <font>
      <b/>
      <vertAlign val="subscript"/>
      <sz val="11"/>
      <color theme="1"/>
      <name val="游ゴシック"/>
      <family val="3"/>
      <charset val="128"/>
      <scheme val="minor"/>
    </font>
    <font>
      <u/>
      <sz val="11"/>
      <color theme="10"/>
      <name val="游ゴシック"/>
      <family val="2"/>
      <charset val="128"/>
      <scheme val="minor"/>
    </font>
    <font>
      <b/>
      <sz val="14"/>
      <color theme="1"/>
      <name val="游ゴシック"/>
      <family val="3"/>
      <charset val="128"/>
      <scheme val="minor"/>
    </font>
    <font>
      <b/>
      <sz val="11"/>
      <name val="游ゴシック"/>
      <family val="3"/>
      <charset val="128"/>
      <scheme val="minor"/>
    </font>
    <font>
      <sz val="11"/>
      <color rgb="FFFF0000"/>
      <name val="游ゴシック"/>
      <family val="2"/>
      <charset val="128"/>
      <scheme val="minor"/>
    </font>
    <font>
      <sz val="20"/>
      <color theme="1"/>
      <name val="游ゴシック"/>
      <family val="2"/>
      <charset val="128"/>
      <scheme val="minor"/>
    </font>
    <font>
      <sz val="11"/>
      <name val="游ゴシック"/>
      <family val="2"/>
      <charset val="128"/>
      <scheme val="minor"/>
    </font>
    <font>
      <sz val="11"/>
      <color rgb="FF3333FF"/>
      <name val="游ゴシック"/>
      <family val="2"/>
      <charset val="128"/>
      <scheme val="minor"/>
    </font>
    <font>
      <sz val="11"/>
      <color rgb="FFFF0000"/>
      <name val="游ゴシック"/>
      <family val="3"/>
      <charset val="128"/>
      <scheme val="minor"/>
    </font>
    <font>
      <vertAlign val="subscript"/>
      <sz val="11"/>
      <name val="游ゴシック"/>
      <family val="3"/>
      <charset val="128"/>
      <scheme val="minor"/>
    </font>
    <font>
      <vertAlign val="superscript"/>
      <sz val="11"/>
      <name val="游ゴシック"/>
      <family val="3"/>
      <charset val="128"/>
      <scheme val="minor"/>
    </font>
    <font>
      <sz val="11"/>
      <name val="ＭＳ ゴシック"/>
      <family val="3"/>
      <charset val="128"/>
    </font>
    <font>
      <sz val="20"/>
      <color rgb="FFFF0000"/>
      <name val="游ゴシック"/>
      <family val="3"/>
      <charset val="128"/>
      <scheme val="minor"/>
    </font>
    <font>
      <sz val="11"/>
      <color theme="1"/>
      <name val="游ゴシック"/>
      <family val="3"/>
      <charset val="128"/>
    </font>
    <font>
      <sz val="18"/>
      <color theme="1"/>
      <name val="游ゴシック"/>
      <family val="2"/>
      <charset val="128"/>
      <scheme val="minor"/>
    </font>
    <font>
      <sz val="18"/>
      <color theme="1"/>
      <name val="游ゴシック"/>
      <family val="3"/>
      <charset val="128"/>
      <scheme val="minor"/>
    </font>
    <font>
      <sz val="11"/>
      <name val="游ゴシック"/>
      <family val="3"/>
      <charset val="128"/>
    </font>
    <font>
      <sz val="18"/>
      <name val="游ゴシック"/>
      <family val="3"/>
      <charset val="128"/>
      <scheme val="minor"/>
    </font>
    <font>
      <vertAlign val="subscript"/>
      <sz val="11"/>
      <color theme="1"/>
      <name val="游ゴシック"/>
      <family val="3"/>
      <charset val="128"/>
      <scheme val="minor"/>
    </font>
    <font>
      <sz val="11"/>
      <name val="ＭＳ Ｐゴシック"/>
      <family val="3"/>
      <charset val="128"/>
    </font>
    <font>
      <sz val="9"/>
      <color theme="1"/>
      <name val="游ゴシック"/>
      <family val="2"/>
      <charset val="128"/>
      <scheme val="minor"/>
    </font>
    <font>
      <sz val="9"/>
      <color theme="1"/>
      <name val="游ゴシック"/>
      <family val="3"/>
      <charset val="128"/>
      <scheme val="minor"/>
    </font>
    <font>
      <sz val="10"/>
      <color theme="1"/>
      <name val="游ゴシック"/>
      <family val="2"/>
      <charset val="128"/>
      <scheme val="minor"/>
    </font>
    <font>
      <sz val="10"/>
      <color theme="1"/>
      <name val="游ゴシック"/>
      <family val="3"/>
      <charset val="128"/>
      <scheme val="minor"/>
    </font>
    <font>
      <sz val="14"/>
      <color theme="1"/>
      <name val="游ゴシック"/>
      <family val="2"/>
      <charset val="128"/>
      <scheme val="minor"/>
    </font>
    <font>
      <sz val="10"/>
      <color theme="1"/>
      <name val="ＭＳ 明朝"/>
      <family val="1"/>
      <charset val="128"/>
    </font>
    <font>
      <sz val="10"/>
      <color indexed="8"/>
      <name val="ＭＳ 明朝"/>
      <family val="1"/>
      <charset val="128"/>
    </font>
    <font>
      <sz val="11"/>
      <color rgb="FF0070C0"/>
      <name val="游ゴシック"/>
      <family val="3"/>
      <charset val="128"/>
      <scheme val="minor"/>
    </font>
    <font>
      <sz val="10"/>
      <name val="游ゴシック"/>
      <family val="3"/>
      <charset val="128"/>
      <scheme val="minor"/>
    </font>
    <font>
      <vertAlign val="superscript"/>
      <sz val="10"/>
      <name val="游ゴシック"/>
      <family val="3"/>
      <charset val="128"/>
      <scheme val="minor"/>
    </font>
    <font>
      <vertAlign val="subscript"/>
      <sz val="10"/>
      <name val="游ゴシック"/>
      <family val="3"/>
      <charset val="128"/>
      <scheme val="minor"/>
    </font>
    <font>
      <sz val="11"/>
      <color theme="1"/>
      <name val="ＭＳ Ｐゴシック"/>
      <family val="2"/>
      <charset val="128"/>
    </font>
    <font>
      <sz val="14"/>
      <color theme="1"/>
      <name val="ＭＳ Ｐゴシック"/>
      <family val="3"/>
      <charset val="128"/>
    </font>
    <font>
      <sz val="6"/>
      <name val="ＭＳ Ｐゴシック"/>
      <family val="2"/>
      <charset val="128"/>
    </font>
    <font>
      <vertAlign val="superscript"/>
      <sz val="11"/>
      <color theme="1"/>
      <name val="ＭＳ Ｐゴシック"/>
      <family val="3"/>
      <charset val="128"/>
    </font>
    <font>
      <sz val="8"/>
      <color theme="1"/>
      <name val="ＭＳ Ｐゴシック"/>
      <family val="3"/>
      <charset val="128"/>
    </font>
    <font>
      <vertAlign val="superscript"/>
      <sz val="8"/>
      <color theme="1"/>
      <name val="ＭＳ Ｐゴシック"/>
      <family val="3"/>
      <charset val="128"/>
    </font>
    <font>
      <vertAlign val="subscript"/>
      <sz val="8"/>
      <color theme="1"/>
      <name val="ＭＳ Ｐゴシック"/>
      <family val="3"/>
      <charset val="128"/>
    </font>
    <font>
      <vertAlign val="subscript"/>
      <sz val="11"/>
      <color theme="1"/>
      <name val="ＭＳ Ｐゴシック"/>
      <family val="3"/>
      <charset val="128"/>
    </font>
    <font>
      <sz val="10"/>
      <color theme="1"/>
      <name val="ＭＳ Ｐゴシック"/>
      <family val="2"/>
      <charset val="128"/>
    </font>
    <font>
      <sz val="9"/>
      <color theme="1"/>
      <name val="ＭＳ Ｐゴシック"/>
      <family val="3"/>
      <charset val="128"/>
    </font>
    <font>
      <sz val="10"/>
      <color theme="1"/>
      <name val="ＭＳ Ｐゴシック"/>
      <family val="3"/>
      <charset val="128"/>
    </font>
    <font>
      <vertAlign val="superscript"/>
      <sz val="10"/>
      <color theme="1"/>
      <name val="ＭＳ Ｐゴシック"/>
      <family val="3"/>
      <charset val="128"/>
    </font>
    <font>
      <b/>
      <sz val="14"/>
      <color rgb="FFFF0000"/>
      <name val="ＭＳ Ｐゴシック"/>
      <family val="3"/>
      <charset val="128"/>
    </font>
    <font>
      <b/>
      <sz val="11"/>
      <color theme="1"/>
      <name val="ＭＳ Ｐゴシック"/>
      <family val="3"/>
      <charset val="128"/>
    </font>
    <font>
      <b/>
      <vertAlign val="superscript"/>
      <sz val="11"/>
      <color rgb="FFFF0000"/>
      <name val="游ゴシック"/>
      <family val="3"/>
      <charset val="128"/>
      <scheme val="minor"/>
    </font>
    <font>
      <u/>
      <sz val="11"/>
      <color theme="10"/>
      <name val="游ゴシック"/>
      <family val="3"/>
      <charset val="128"/>
      <scheme val="minor"/>
    </font>
    <font>
      <sz val="10.5"/>
      <color theme="1"/>
      <name val="游ゴシック"/>
      <family val="3"/>
      <charset val="128"/>
      <scheme val="minor"/>
    </font>
    <font>
      <vertAlign val="superscript"/>
      <sz val="10.5"/>
      <color theme="1"/>
      <name val="游ゴシック"/>
      <family val="3"/>
      <charset val="128"/>
      <scheme val="minor"/>
    </font>
    <font>
      <b/>
      <sz val="10.5"/>
      <color rgb="FFFF0000"/>
      <name val="游ゴシック"/>
      <family val="3"/>
      <charset val="128"/>
      <scheme val="minor"/>
    </font>
    <font>
      <sz val="10.5"/>
      <name val="游ゴシック"/>
      <family val="3"/>
      <charset val="128"/>
      <scheme val="minor"/>
    </font>
    <font>
      <sz val="9"/>
      <color rgb="FFFF0000"/>
      <name val="游明朝"/>
      <family val="1"/>
      <charset val="128"/>
    </font>
    <font>
      <u/>
      <sz val="18"/>
      <color theme="10"/>
      <name val="游ゴシック"/>
      <family val="3"/>
      <charset val="128"/>
      <scheme val="minor"/>
    </font>
    <font>
      <sz val="10.5"/>
      <color rgb="FF222222"/>
      <name val="游明朝"/>
      <family val="1"/>
      <charset val="128"/>
    </font>
    <font>
      <sz val="10.5"/>
      <color rgb="FF222222"/>
      <name val="Arial"/>
      <family val="2"/>
    </font>
    <font>
      <sz val="10.5"/>
      <color theme="1"/>
      <name val="游明朝"/>
      <family val="1"/>
      <charset val="128"/>
    </font>
    <font>
      <b/>
      <sz val="11"/>
      <color theme="1"/>
      <name val="游ゴシック"/>
      <family val="2"/>
      <charset val="128"/>
      <scheme val="minor"/>
    </font>
    <font>
      <b/>
      <sz val="12"/>
      <color rgb="FF00B050"/>
      <name val="游ゴシック"/>
      <family val="3"/>
      <charset val="128"/>
      <scheme val="minor"/>
    </font>
    <font>
      <b/>
      <sz val="10"/>
      <color rgb="FFFF0000"/>
      <name val="游ゴシック"/>
      <family val="3"/>
      <charset val="128"/>
      <scheme val="minor"/>
    </font>
  </fonts>
  <fills count="14">
    <fill>
      <patternFill patternType="none"/>
    </fill>
    <fill>
      <patternFill patternType="gray125"/>
    </fill>
    <fill>
      <patternFill patternType="solid">
        <fgColor theme="0" tint="-0.14999847407452621"/>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2"/>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rgb="FFD4F9FE"/>
        <bgColor indexed="64"/>
      </patternFill>
    </fill>
    <fill>
      <patternFill patternType="solid">
        <fgColor rgb="FFFFFF00"/>
        <bgColor indexed="64"/>
      </patternFill>
    </fill>
    <fill>
      <patternFill patternType="solid">
        <fgColor rgb="FF92D050"/>
        <bgColor indexed="64"/>
      </patternFill>
    </fill>
    <fill>
      <patternFill patternType="solid">
        <fgColor rgb="FFC00000"/>
        <bgColor indexed="64"/>
      </patternFill>
    </fill>
    <fill>
      <patternFill patternType="solid">
        <fgColor theme="7" tint="0.59999389629810485"/>
        <bgColor indexed="64"/>
      </patternFill>
    </fill>
    <fill>
      <patternFill patternType="solid">
        <fgColor theme="0"/>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right/>
      <top/>
      <bottom style="medium">
        <color indexed="64"/>
      </bottom>
      <diagonal/>
    </border>
    <border>
      <left style="thin">
        <color indexed="64"/>
      </left>
      <right/>
      <top/>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right style="medium">
        <color indexed="64"/>
      </right>
      <top style="medium">
        <color indexed="64"/>
      </top>
      <bottom style="medium">
        <color indexed="64"/>
      </bottom>
      <diagonal/>
    </border>
  </borders>
  <cellStyleXfs count="10">
    <xf numFmtId="0" fontId="0" fillId="0" borderId="0">
      <alignment vertical="center"/>
    </xf>
    <xf numFmtId="38" fontId="1" fillId="0" borderId="0" applyFont="0" applyFill="0" applyBorder="0" applyAlignment="0" applyProtection="0">
      <alignment vertical="center"/>
    </xf>
    <xf numFmtId="0" fontId="11" fillId="0" borderId="0" applyNumberFormat="0" applyFill="0" applyBorder="0" applyAlignment="0" applyProtection="0">
      <alignment vertical="center"/>
    </xf>
    <xf numFmtId="9" fontId="1" fillId="0" borderId="0" applyFont="0" applyFill="0" applyBorder="0" applyAlignment="0" applyProtection="0">
      <alignment vertical="center"/>
    </xf>
    <xf numFmtId="0" fontId="29" fillId="0" borderId="0"/>
    <xf numFmtId="0" fontId="35" fillId="0" borderId="0">
      <alignment vertical="center"/>
    </xf>
    <xf numFmtId="38" fontId="36" fillId="0" borderId="0" applyFont="0" applyFill="0" applyBorder="0" applyAlignment="0" applyProtection="0">
      <alignment vertical="center"/>
    </xf>
    <xf numFmtId="9" fontId="36" fillId="0" borderId="0" applyFont="0" applyFill="0" applyBorder="0" applyAlignment="0" applyProtection="0">
      <alignment vertical="center"/>
    </xf>
    <xf numFmtId="0" fontId="41" fillId="0" borderId="0">
      <alignment vertical="center"/>
    </xf>
    <xf numFmtId="38" fontId="41" fillId="0" borderId="0" applyFont="0" applyFill="0" applyBorder="0" applyAlignment="0" applyProtection="0">
      <alignment vertical="center"/>
    </xf>
  </cellStyleXfs>
  <cellXfs count="1000">
    <xf numFmtId="0" fontId="0" fillId="0" borderId="0" xfId="0">
      <alignment vertical="center"/>
    </xf>
    <xf numFmtId="0" fontId="0" fillId="0" borderId="1" xfId="0" applyBorder="1">
      <alignment vertical="center"/>
    </xf>
    <xf numFmtId="0" fontId="0" fillId="0" borderId="1" xfId="0" applyBorder="1" applyAlignment="1">
      <alignment vertical="center" wrapText="1"/>
    </xf>
    <xf numFmtId="0" fontId="4" fillId="0" borderId="0" xfId="0" applyFont="1">
      <alignment vertical="center"/>
    </xf>
    <xf numFmtId="0" fontId="6" fillId="0" borderId="0" xfId="0" applyFont="1">
      <alignment vertical="center"/>
    </xf>
    <xf numFmtId="0" fontId="7" fillId="0" borderId="0" xfId="0" applyFont="1">
      <alignment vertical="center"/>
    </xf>
    <xf numFmtId="0" fontId="0" fillId="0" borderId="4" xfId="0" applyBorder="1">
      <alignment vertical="center"/>
    </xf>
    <xf numFmtId="0" fontId="0" fillId="3" borderId="1" xfId="0" applyFill="1" applyBorder="1">
      <alignment vertical="center"/>
    </xf>
    <xf numFmtId="0" fontId="0" fillId="4" borderId="1" xfId="0" applyFill="1" applyBorder="1">
      <alignment vertical="center"/>
    </xf>
    <xf numFmtId="0" fontId="5" fillId="0" borderId="1" xfId="0" applyFont="1" applyBorder="1">
      <alignment vertical="center"/>
    </xf>
    <xf numFmtId="0" fontId="0" fillId="0" borderId="1" xfId="0" applyBorder="1" applyAlignment="1">
      <alignment horizontal="left" vertical="center"/>
    </xf>
    <xf numFmtId="0" fontId="0" fillId="5" borderId="1" xfId="0" applyFill="1" applyBorder="1">
      <alignment vertical="center"/>
    </xf>
    <xf numFmtId="0" fontId="4" fillId="5" borderId="1" xfId="0" applyFont="1" applyFill="1" applyBorder="1">
      <alignment vertical="center"/>
    </xf>
    <xf numFmtId="0" fontId="0" fillId="0" borderId="3" xfId="0" applyBorder="1" applyAlignment="1">
      <alignment horizontal="center" vertical="center"/>
    </xf>
    <xf numFmtId="0" fontId="4" fillId="0" borderId="1" xfId="0" applyFont="1" applyBorder="1">
      <alignment vertical="center"/>
    </xf>
    <xf numFmtId="0" fontId="6" fillId="5" borderId="1" xfId="0" applyFont="1" applyFill="1" applyBorder="1">
      <alignment vertical="center"/>
    </xf>
    <xf numFmtId="0" fontId="0" fillId="0" borderId="1" xfId="0" applyBorder="1" applyAlignment="1">
      <alignment horizontal="center" vertical="center"/>
    </xf>
    <xf numFmtId="0" fontId="0" fillId="0" borderId="1" xfId="0" applyBorder="1" applyAlignment="1">
      <alignment horizontal="center" vertical="center" wrapText="1"/>
    </xf>
    <xf numFmtId="0" fontId="0" fillId="4" borderId="1" xfId="0" applyFill="1" applyBorder="1" applyAlignment="1">
      <alignment horizontal="center" vertical="center"/>
    </xf>
    <xf numFmtId="0" fontId="0" fillId="5" borderId="1" xfId="0" applyFill="1" applyBorder="1" applyAlignment="1">
      <alignment horizontal="left" vertical="center"/>
    </xf>
    <xf numFmtId="0" fontId="4" fillId="0" borderId="6" xfId="0" applyFont="1" applyBorder="1" applyAlignment="1">
      <alignment vertical="center" wrapText="1"/>
    </xf>
    <xf numFmtId="0" fontId="5" fillId="5" borderId="1" xfId="0" applyFont="1" applyFill="1" applyBorder="1">
      <alignment vertical="center"/>
    </xf>
    <xf numFmtId="177" fontId="0" fillId="3" borderId="1" xfId="0" applyNumberFormat="1" applyFill="1" applyBorder="1">
      <alignment vertical="center"/>
    </xf>
    <xf numFmtId="2" fontId="0" fillId="3" borderId="1" xfId="0" applyNumberFormat="1" applyFill="1" applyBorder="1">
      <alignment vertical="center"/>
    </xf>
    <xf numFmtId="176" fontId="0" fillId="3" borderId="1" xfId="0" applyNumberFormat="1" applyFill="1" applyBorder="1">
      <alignment vertical="center"/>
    </xf>
    <xf numFmtId="0" fontId="0" fillId="5" borderId="1" xfId="0" applyFill="1" applyBorder="1" applyAlignment="1">
      <alignment vertical="center" wrapText="1"/>
    </xf>
    <xf numFmtId="0" fontId="0" fillId="5" borderId="1" xfId="0" applyFill="1" applyBorder="1" applyAlignment="1">
      <alignment horizontal="center" vertical="center"/>
    </xf>
    <xf numFmtId="0" fontId="4" fillId="5" borderId="1" xfId="0" applyFont="1" applyFill="1" applyBorder="1" applyAlignment="1">
      <alignment horizontal="right" vertical="center"/>
    </xf>
    <xf numFmtId="0" fontId="12" fillId="0" borderId="0" xfId="0" applyFont="1">
      <alignment vertical="center"/>
    </xf>
    <xf numFmtId="0" fontId="5" fillId="0" borderId="0" xfId="0" applyFont="1">
      <alignment vertical="center"/>
    </xf>
    <xf numFmtId="0" fontId="5" fillId="0" borderId="1" xfId="0" applyFont="1" applyBorder="1" applyAlignment="1">
      <alignment horizontal="center" vertical="center"/>
    </xf>
    <xf numFmtId="0" fontId="6" fillId="0" borderId="0" xfId="0" applyFont="1" applyAlignment="1">
      <alignment horizontal="left" vertical="center"/>
    </xf>
    <xf numFmtId="0" fontId="13" fillId="4" borderId="0" xfId="0" applyFont="1" applyFill="1">
      <alignment vertical="center"/>
    </xf>
    <xf numFmtId="0" fontId="8" fillId="4" borderId="0" xfId="0" applyFont="1" applyFill="1">
      <alignment vertical="center"/>
    </xf>
    <xf numFmtId="177" fontId="0" fillId="0" borderId="1" xfId="0" applyNumberFormat="1" applyBorder="1" applyAlignment="1">
      <alignment horizontal="center" vertical="center"/>
    </xf>
    <xf numFmtId="1" fontId="0" fillId="0" borderId="1" xfId="0" applyNumberFormat="1" applyBorder="1" applyAlignment="1">
      <alignment horizontal="center" vertical="center"/>
    </xf>
    <xf numFmtId="0" fontId="11" fillId="6" borderId="1" xfId="2" applyFill="1" applyBorder="1" applyAlignment="1">
      <alignment horizontal="center" vertical="center"/>
    </xf>
    <xf numFmtId="0" fontId="0" fillId="6" borderId="0" xfId="0" applyFill="1">
      <alignment vertical="center"/>
    </xf>
    <xf numFmtId="0" fontId="6" fillId="6" borderId="0" xfId="0" applyFont="1" applyFill="1">
      <alignment vertical="center"/>
    </xf>
    <xf numFmtId="38" fontId="0" fillId="0" borderId="1" xfId="0" applyNumberFormat="1" applyBorder="1" applyAlignment="1">
      <alignment horizontal="center" vertical="center"/>
    </xf>
    <xf numFmtId="176" fontId="0" fillId="0" borderId="0" xfId="0" applyNumberFormat="1">
      <alignment vertical="center"/>
    </xf>
    <xf numFmtId="0" fontId="0" fillId="0" borderId="10" xfId="0" applyBorder="1">
      <alignment vertical="center"/>
    </xf>
    <xf numFmtId="0" fontId="0" fillId="0" borderId="11" xfId="0" applyBorder="1">
      <alignment vertical="center"/>
    </xf>
    <xf numFmtId="0" fontId="0" fillId="0" borderId="13" xfId="0" applyBorder="1">
      <alignment vertical="center"/>
    </xf>
    <xf numFmtId="0" fontId="0" fillId="0" borderId="15" xfId="0" applyBorder="1">
      <alignment vertical="center"/>
    </xf>
    <xf numFmtId="0" fontId="0" fillId="0" borderId="16" xfId="0" applyBorder="1">
      <alignment vertical="center"/>
    </xf>
    <xf numFmtId="0" fontId="0" fillId="0" borderId="18" xfId="0" applyBorder="1">
      <alignment vertical="center"/>
    </xf>
    <xf numFmtId="0" fontId="0" fillId="0" borderId="21" xfId="0" applyBorder="1" applyAlignment="1">
      <alignment horizontal="center" vertical="center" wrapText="1"/>
    </xf>
    <xf numFmtId="0" fontId="0" fillId="0" borderId="22" xfId="0" applyBorder="1" applyAlignment="1">
      <alignment horizontal="center" vertical="center"/>
    </xf>
    <xf numFmtId="0" fontId="0" fillId="0" borderId="22" xfId="0" applyBorder="1" applyAlignment="1">
      <alignment horizontal="center" vertical="center" wrapText="1"/>
    </xf>
    <xf numFmtId="176" fontId="4" fillId="7" borderId="12" xfId="0" applyNumberFormat="1" applyFont="1" applyFill="1" applyBorder="1">
      <alignment vertical="center"/>
    </xf>
    <xf numFmtId="176" fontId="4" fillId="7" borderId="14" xfId="0" applyNumberFormat="1" applyFont="1" applyFill="1" applyBorder="1">
      <alignment vertical="center"/>
    </xf>
    <xf numFmtId="0" fontId="4" fillId="7" borderId="14" xfId="0" applyFont="1" applyFill="1" applyBorder="1">
      <alignment vertical="center"/>
    </xf>
    <xf numFmtId="0" fontId="4" fillId="7" borderId="17" xfId="0" applyFont="1" applyFill="1" applyBorder="1">
      <alignment vertical="center"/>
    </xf>
    <xf numFmtId="176" fontId="4" fillId="7" borderId="24" xfId="0" applyNumberFormat="1" applyFont="1" applyFill="1" applyBorder="1">
      <alignment vertical="center"/>
    </xf>
    <xf numFmtId="0" fontId="4" fillId="7" borderId="23" xfId="0" applyFont="1" applyFill="1" applyBorder="1" applyAlignment="1">
      <alignment horizontal="center" vertical="center"/>
    </xf>
    <xf numFmtId="1" fontId="0" fillId="3" borderId="1" xfId="0" applyNumberFormat="1" applyFill="1" applyBorder="1">
      <alignment vertical="center"/>
    </xf>
    <xf numFmtId="177" fontId="0" fillId="4" borderId="1" xfId="0" applyNumberFormat="1" applyFill="1" applyBorder="1">
      <alignment vertical="center"/>
    </xf>
    <xf numFmtId="0" fontId="0" fillId="0" borderId="0" xfId="0" applyAlignment="1">
      <alignment vertical="center" wrapText="1"/>
    </xf>
    <xf numFmtId="0" fontId="6" fillId="0" borderId="0" xfId="0" applyFont="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wrapText="1"/>
    </xf>
    <xf numFmtId="0" fontId="0" fillId="0" borderId="13" xfId="0" applyBorder="1" applyAlignment="1">
      <alignment horizontal="center" vertical="center" wrapText="1"/>
    </xf>
    <xf numFmtId="38" fontId="0" fillId="0" borderId="1" xfId="1" applyFont="1" applyBorder="1" applyAlignment="1">
      <alignment horizontal="center" vertical="center"/>
    </xf>
    <xf numFmtId="38" fontId="0" fillId="0" borderId="14" xfId="1" applyFont="1" applyBorder="1" applyAlignment="1">
      <alignment horizontal="center" vertical="center"/>
    </xf>
    <xf numFmtId="0" fontId="4" fillId="7" borderId="15" xfId="0" applyFont="1" applyFill="1" applyBorder="1" applyAlignment="1">
      <alignment horizontal="center" vertical="center"/>
    </xf>
    <xf numFmtId="0" fontId="4" fillId="7" borderId="16" xfId="0" applyFont="1" applyFill="1" applyBorder="1" applyAlignment="1">
      <alignment horizontal="center" vertical="center"/>
    </xf>
    <xf numFmtId="176" fontId="4" fillId="7" borderId="16" xfId="0" applyNumberFormat="1" applyFont="1" applyFill="1" applyBorder="1" applyAlignment="1">
      <alignment horizontal="center" vertical="center"/>
    </xf>
    <xf numFmtId="176" fontId="4" fillId="7" borderId="17" xfId="0" applyNumberFormat="1" applyFont="1" applyFill="1" applyBorder="1" applyAlignment="1">
      <alignment horizontal="center" vertical="center"/>
    </xf>
    <xf numFmtId="0" fontId="0" fillId="0" borderId="9" xfId="0" applyBorder="1">
      <alignment vertical="center"/>
    </xf>
    <xf numFmtId="0" fontId="0" fillId="2" borderId="1" xfId="0" applyFill="1" applyBorder="1">
      <alignment vertical="center"/>
    </xf>
    <xf numFmtId="0" fontId="0" fillId="5" borderId="6" xfId="0" applyFill="1" applyBorder="1">
      <alignment vertical="center"/>
    </xf>
    <xf numFmtId="0" fontId="0" fillId="5" borderId="2" xfId="0" applyFill="1" applyBorder="1">
      <alignment vertical="center"/>
    </xf>
    <xf numFmtId="0" fontId="4" fillId="7" borderId="1" xfId="0" applyFont="1" applyFill="1" applyBorder="1" applyAlignment="1">
      <alignment horizontal="center" vertical="center" wrapText="1"/>
    </xf>
    <xf numFmtId="0" fontId="4" fillId="7" borderId="1" xfId="0" applyFont="1" applyFill="1" applyBorder="1" applyAlignment="1">
      <alignment horizontal="center" vertical="center"/>
    </xf>
    <xf numFmtId="176" fontId="4" fillId="0" borderId="0" xfId="0" applyNumberFormat="1" applyFont="1" applyAlignment="1">
      <alignment horizontal="center" vertical="center"/>
    </xf>
    <xf numFmtId="0" fontId="4" fillId="0" borderId="0" xfId="0" applyFont="1" applyAlignment="1">
      <alignment vertical="center" wrapText="1"/>
    </xf>
    <xf numFmtId="0" fontId="5" fillId="0" borderId="1" xfId="0" applyFont="1" applyBorder="1" applyAlignment="1">
      <alignment vertical="center" wrapText="1"/>
    </xf>
    <xf numFmtId="0" fontId="5" fillId="0" borderId="0" xfId="0" applyFont="1" applyAlignment="1">
      <alignment horizontal="center" vertical="center"/>
    </xf>
    <xf numFmtId="176" fontId="6" fillId="0" borderId="0" xfId="0" applyNumberFormat="1" applyFont="1" applyAlignment="1">
      <alignment horizontal="center" vertical="center"/>
    </xf>
    <xf numFmtId="0" fontId="5" fillId="0" borderId="0" xfId="0" applyFont="1" applyAlignment="1">
      <alignment vertical="center" wrapText="1"/>
    </xf>
    <xf numFmtId="0" fontId="13" fillId="7" borderId="1" xfId="0" applyFont="1" applyFill="1" applyBorder="1">
      <alignment vertical="center"/>
    </xf>
    <xf numFmtId="176" fontId="13" fillId="7" borderId="1" xfId="0" applyNumberFormat="1" applyFont="1" applyFill="1" applyBorder="1" applyAlignment="1">
      <alignment horizontal="center" vertical="center"/>
    </xf>
    <xf numFmtId="177" fontId="0" fillId="0" borderId="0" xfId="0" applyNumberFormat="1">
      <alignment vertical="center"/>
    </xf>
    <xf numFmtId="0" fontId="0" fillId="5" borderId="1" xfId="0" applyFill="1" applyBorder="1" applyAlignment="1">
      <alignment horizontal="center" vertical="center" wrapText="1"/>
    </xf>
    <xf numFmtId="0" fontId="15" fillId="0" borderId="0" xfId="0" applyFont="1" applyAlignment="1">
      <alignment horizontal="left" vertical="center"/>
    </xf>
    <xf numFmtId="0" fontId="0" fillId="0" borderId="0" xfId="0" applyAlignment="1">
      <alignment horizontal="right"/>
    </xf>
    <xf numFmtId="0" fontId="14" fillId="0" borderId="0" xfId="0" applyFont="1" applyAlignment="1">
      <alignment horizontal="left" vertical="center"/>
    </xf>
    <xf numFmtId="0" fontId="0" fillId="8" borderId="1" xfId="0" applyFill="1" applyBorder="1" applyAlignment="1">
      <alignment horizontal="center" vertical="center"/>
    </xf>
    <xf numFmtId="0" fontId="16" fillId="0" borderId="0" xfId="0" applyFont="1" applyAlignment="1">
      <alignment horizontal="left" vertical="center"/>
    </xf>
    <xf numFmtId="0" fontId="8" fillId="8" borderId="1" xfId="0" applyFont="1" applyFill="1" applyBorder="1" applyAlignment="1">
      <alignment horizontal="center" vertical="center"/>
    </xf>
    <xf numFmtId="0" fontId="16" fillId="0" borderId="1" xfId="0" applyFont="1" applyBorder="1" applyAlignment="1">
      <alignment horizontal="center" vertical="center"/>
    </xf>
    <xf numFmtId="0" fontId="8" fillId="0" borderId="26" xfId="0" applyFont="1" applyBorder="1" applyAlignment="1">
      <alignment horizontal="center" vertical="center"/>
    </xf>
    <xf numFmtId="0" fontId="8" fillId="0" borderId="0" xfId="0" applyFont="1" applyAlignment="1">
      <alignment horizontal="center" vertical="center"/>
    </xf>
    <xf numFmtId="0" fontId="18" fillId="0" borderId="0" xfId="0" applyFont="1">
      <alignment vertical="center"/>
    </xf>
    <xf numFmtId="0" fontId="8" fillId="0" borderId="0" xfId="0" applyFont="1">
      <alignment vertical="center"/>
    </xf>
    <xf numFmtId="0" fontId="16" fillId="0" borderId="0" xfId="0" applyFont="1" applyAlignment="1">
      <alignment horizontal="center" vertical="center"/>
    </xf>
    <xf numFmtId="0" fontId="21" fillId="0" borderId="27" xfId="0" applyFont="1" applyBorder="1" applyAlignment="1">
      <alignment horizontal="center" vertical="center"/>
    </xf>
    <xf numFmtId="0" fontId="8" fillId="0" borderId="27" xfId="0" applyFont="1" applyBorder="1" applyAlignment="1">
      <alignment horizontal="center" vertical="center"/>
    </xf>
    <xf numFmtId="0" fontId="0" fillId="0" borderId="0" xfId="0" applyAlignment="1">
      <alignment horizontal="left" vertical="center"/>
    </xf>
    <xf numFmtId="0" fontId="6" fillId="0" borderId="28" xfId="0" applyFont="1" applyBorder="1" applyAlignment="1">
      <alignment horizontal="left" vertical="center"/>
    </xf>
    <xf numFmtId="0" fontId="0" fillId="0" borderId="29" xfId="0" applyBorder="1" applyAlignment="1">
      <alignment horizontal="center" vertical="center"/>
    </xf>
    <xf numFmtId="0" fontId="0" fillId="0" borderId="31" xfId="0" applyBorder="1" applyAlignment="1">
      <alignment horizontal="center" vertical="center"/>
    </xf>
    <xf numFmtId="0" fontId="8" fillId="0" borderId="32" xfId="0" applyFont="1" applyBorder="1" applyAlignment="1">
      <alignment horizontal="center" vertical="center"/>
    </xf>
    <xf numFmtId="0" fontId="0" fillId="0" borderId="8" xfId="0" applyBorder="1" applyAlignment="1">
      <alignment horizontal="left" vertical="center"/>
    </xf>
    <xf numFmtId="0" fontId="0" fillId="0" borderId="8" xfId="0" applyBorder="1" applyAlignment="1">
      <alignment horizontal="center" vertical="center"/>
    </xf>
    <xf numFmtId="178" fontId="0" fillId="0" borderId="0" xfId="0" applyNumberFormat="1" applyAlignment="1">
      <alignment horizontal="center" vertical="center"/>
    </xf>
    <xf numFmtId="0" fontId="0" fillId="0" borderId="3" xfId="0" applyBorder="1">
      <alignment vertical="center"/>
    </xf>
    <xf numFmtId="0" fontId="0" fillId="0" borderId="1" xfId="0" applyBorder="1" applyAlignment="1">
      <alignment horizontal="left" vertical="center" wrapText="1"/>
    </xf>
    <xf numFmtId="38" fontId="0" fillId="0" borderId="1" xfId="1" applyFont="1" applyFill="1" applyBorder="1" applyAlignment="1">
      <alignment horizontal="center" vertical="center"/>
    </xf>
    <xf numFmtId="0" fontId="23" fillId="0" borderId="0" xfId="0" applyFont="1" applyAlignment="1">
      <alignment horizontal="center" vertical="center"/>
    </xf>
    <xf numFmtId="0" fontId="0" fillId="0" borderId="27" xfId="0" applyBorder="1">
      <alignment vertical="center"/>
    </xf>
    <xf numFmtId="0" fontId="0" fillId="0" borderId="26" xfId="0" applyBorder="1">
      <alignment vertical="center"/>
    </xf>
    <xf numFmtId="179" fontId="0" fillId="0" borderId="0" xfId="0" applyNumberFormat="1" applyAlignment="1">
      <alignment horizontal="center" vertical="center"/>
    </xf>
    <xf numFmtId="0" fontId="16" fillId="8" borderId="1" xfId="0" applyFont="1" applyFill="1" applyBorder="1" applyAlignment="1">
      <alignment horizontal="center" vertical="center"/>
    </xf>
    <xf numFmtId="0" fontId="16" fillId="8" borderId="3" xfId="0" applyFont="1" applyFill="1" applyBorder="1" applyAlignment="1">
      <alignment horizontal="center" vertical="center"/>
    </xf>
    <xf numFmtId="38" fontId="0" fillId="0" borderId="27" xfId="1" applyFont="1" applyFill="1" applyBorder="1" applyAlignment="1">
      <alignment horizontal="center" vertical="center"/>
    </xf>
    <xf numFmtId="0" fontId="0" fillId="8" borderId="3" xfId="0" applyFill="1" applyBorder="1" applyAlignment="1">
      <alignment horizontal="center" vertical="center"/>
    </xf>
    <xf numFmtId="0" fontId="23" fillId="0" borderId="1" xfId="0" applyFont="1" applyBorder="1" applyAlignment="1">
      <alignment horizontal="left" vertical="center"/>
    </xf>
    <xf numFmtId="38" fontId="8" fillId="0" borderId="1" xfId="1" applyFont="1" applyFill="1" applyBorder="1" applyAlignment="1">
      <alignment horizontal="center" vertical="center"/>
    </xf>
    <xf numFmtId="0" fontId="8" fillId="0" borderId="1" xfId="0" applyFont="1" applyBorder="1" applyAlignment="1">
      <alignment vertical="center" wrapText="1"/>
    </xf>
    <xf numFmtId="0" fontId="8" fillId="0" borderId="1" xfId="0" applyFont="1" applyBorder="1">
      <alignment vertical="center"/>
    </xf>
    <xf numFmtId="0" fontId="0" fillId="0" borderId="28" xfId="0" applyBorder="1">
      <alignment vertical="center"/>
    </xf>
    <xf numFmtId="0" fontId="8" fillId="8" borderId="3" xfId="0" applyFont="1" applyFill="1" applyBorder="1" applyAlignment="1">
      <alignment horizontal="center" vertical="center"/>
    </xf>
    <xf numFmtId="180" fontId="0" fillId="0" borderId="0" xfId="0" applyNumberFormat="1" applyAlignment="1">
      <alignment horizontal="center" vertical="center"/>
    </xf>
    <xf numFmtId="179" fontId="13" fillId="0" borderId="1" xfId="3" applyNumberFormat="1" applyFont="1" applyFill="1" applyBorder="1" applyAlignment="1">
      <alignment horizontal="center" vertical="center"/>
    </xf>
    <xf numFmtId="181" fontId="8" fillId="0" borderId="0" xfId="0" applyNumberFormat="1" applyFont="1" applyAlignment="1">
      <alignment horizontal="center" vertical="center"/>
    </xf>
    <xf numFmtId="0" fontId="29" fillId="0" borderId="0" xfId="4" applyAlignment="1">
      <alignment horizontal="center" vertical="center"/>
    </xf>
    <xf numFmtId="0" fontId="0" fillId="0" borderId="3" xfId="0" applyBorder="1" applyAlignment="1">
      <alignment horizontal="center" vertical="center" wrapText="1"/>
    </xf>
    <xf numFmtId="0" fontId="0" fillId="0" borderId="4" xfId="0" applyBorder="1" applyAlignment="1">
      <alignment horizontal="center" vertical="center"/>
    </xf>
    <xf numFmtId="0" fontId="0" fillId="0" borderId="6" xfId="0" applyBorder="1" applyAlignment="1">
      <alignment horizontal="center" vertical="center"/>
    </xf>
    <xf numFmtId="0" fontId="0" fillId="0" borderId="2" xfId="0" applyBorder="1" applyAlignment="1">
      <alignment horizontal="center" vertical="center"/>
    </xf>
    <xf numFmtId="0" fontId="0" fillId="0" borderId="2" xfId="0" applyBorder="1" applyAlignment="1">
      <alignment horizontal="center" vertical="center" wrapText="1"/>
    </xf>
    <xf numFmtId="0" fontId="8" fillId="0" borderId="3" xfId="0" applyFont="1" applyBorder="1" applyAlignment="1">
      <alignment horizontal="center" vertical="center" wrapText="1"/>
    </xf>
    <xf numFmtId="38" fontId="8" fillId="0" borderId="27" xfId="1" applyFont="1" applyFill="1" applyBorder="1" applyAlignment="1">
      <alignment horizontal="center" vertical="center"/>
    </xf>
    <xf numFmtId="0" fontId="8" fillId="0" borderId="0" xfId="0" applyFont="1" applyAlignment="1">
      <alignment horizontal="left" vertical="center"/>
    </xf>
    <xf numFmtId="0" fontId="8" fillId="0" borderId="3" xfId="0" applyFont="1" applyBorder="1" applyAlignment="1">
      <alignment horizontal="center" vertical="center"/>
    </xf>
    <xf numFmtId="0" fontId="0" fillId="0" borderId="30" xfId="0" applyBorder="1" applyAlignment="1">
      <alignment horizontal="center" vertical="center"/>
    </xf>
    <xf numFmtId="0" fontId="0" fillId="0" borderId="5" xfId="0" applyBorder="1" applyAlignment="1">
      <alignment horizontal="center" vertical="center"/>
    </xf>
    <xf numFmtId="0" fontId="8" fillId="0" borderId="1" xfId="0" applyFont="1" applyBorder="1" applyAlignment="1">
      <alignment horizontal="center" vertical="center"/>
    </xf>
    <xf numFmtId="0" fontId="0" fillId="0" borderId="3" xfId="0" applyBorder="1" applyAlignment="1">
      <alignment horizontal="left" vertical="center"/>
    </xf>
    <xf numFmtId="0" fontId="0" fillId="0" borderId="4" xfId="0" applyBorder="1" applyAlignment="1">
      <alignment horizontal="left" vertical="center"/>
    </xf>
    <xf numFmtId="0" fontId="0" fillId="0" borderId="3" xfId="0" applyBorder="1" applyAlignment="1">
      <alignment horizontal="left" vertical="center" wrapText="1"/>
    </xf>
    <xf numFmtId="0" fontId="0" fillId="0" borderId="27" xfId="0" applyBorder="1" applyAlignment="1">
      <alignment horizontal="left" vertical="center"/>
    </xf>
    <xf numFmtId="0" fontId="0" fillId="0" borderId="0" xfId="0" applyAlignment="1">
      <alignment horizontal="center" vertical="center" wrapText="1"/>
    </xf>
    <xf numFmtId="0" fontId="0" fillId="0" borderId="0" xfId="0" applyAlignment="1">
      <alignment horizontal="center" vertical="center"/>
    </xf>
    <xf numFmtId="38" fontId="0" fillId="3" borderId="1" xfId="1" applyFont="1" applyFill="1" applyBorder="1">
      <alignment vertical="center"/>
    </xf>
    <xf numFmtId="0" fontId="6" fillId="5" borderId="1" xfId="0" applyFont="1" applyFill="1" applyBorder="1" applyAlignment="1">
      <alignment horizontal="center" vertical="center" wrapText="1"/>
    </xf>
    <xf numFmtId="0" fontId="11" fillId="0" borderId="0" xfId="2" applyBorder="1">
      <alignment vertical="center"/>
    </xf>
    <xf numFmtId="38" fontId="0" fillId="4" borderId="1" xfId="1" applyFont="1" applyFill="1" applyBorder="1" applyAlignment="1">
      <alignment horizontal="center" vertical="center"/>
    </xf>
    <xf numFmtId="0" fontId="8" fillId="4" borderId="1" xfId="0" applyFont="1" applyFill="1" applyBorder="1" applyAlignment="1">
      <alignment horizontal="center" vertical="center"/>
    </xf>
    <xf numFmtId="38" fontId="0" fillId="3" borderId="1" xfId="1" applyFont="1" applyFill="1" applyBorder="1" applyAlignment="1">
      <alignment horizontal="center" vertical="center"/>
    </xf>
    <xf numFmtId="177" fontId="0" fillId="3" borderId="1" xfId="0" applyNumberFormat="1" applyFill="1" applyBorder="1" applyAlignment="1">
      <alignment horizontal="center" vertical="center"/>
    </xf>
    <xf numFmtId="0" fontId="8" fillId="5" borderId="1" xfId="0" applyFont="1" applyFill="1" applyBorder="1" applyAlignment="1">
      <alignment horizontal="center" vertical="center"/>
    </xf>
    <xf numFmtId="0" fontId="0" fillId="10" borderId="1" xfId="0" applyFill="1" applyBorder="1">
      <alignment vertical="center"/>
    </xf>
    <xf numFmtId="178" fontId="0" fillId="0" borderId="1" xfId="0" applyNumberFormat="1" applyBorder="1" applyAlignment="1">
      <alignment horizontal="center" vertical="center"/>
    </xf>
    <xf numFmtId="179" fontId="0" fillId="0" borderId="1" xfId="0" applyNumberFormat="1" applyBorder="1" applyAlignment="1">
      <alignment horizontal="center" vertical="center"/>
    </xf>
    <xf numFmtId="0" fontId="18" fillId="0" borderId="0" xfId="0" applyFont="1" applyAlignment="1">
      <alignment horizontal="center" vertical="center"/>
    </xf>
    <xf numFmtId="0" fontId="0" fillId="0" borderId="29" xfId="0" applyBorder="1" applyAlignment="1">
      <alignment horizontal="left" vertical="center"/>
    </xf>
    <xf numFmtId="177" fontId="0" fillId="0" borderId="29" xfId="0" applyNumberFormat="1" applyBorder="1" applyAlignment="1">
      <alignment horizontal="center" vertical="center"/>
    </xf>
    <xf numFmtId="9" fontId="0" fillId="0" borderId="0" xfId="0" applyNumberFormat="1" applyAlignment="1">
      <alignment horizontal="center" vertical="center"/>
    </xf>
    <xf numFmtId="0" fontId="12" fillId="0" borderId="0" xfId="0" applyFont="1" applyAlignment="1">
      <alignment horizontal="left" vertical="center"/>
    </xf>
    <xf numFmtId="0" fontId="0" fillId="0" borderId="2" xfId="0" applyBorder="1" applyAlignment="1">
      <alignment horizontal="left" vertical="center"/>
    </xf>
    <xf numFmtId="0" fontId="0" fillId="0" borderId="28" xfId="0" applyBorder="1" applyAlignment="1">
      <alignment horizontal="left" vertical="center"/>
    </xf>
    <xf numFmtId="0" fontId="0" fillId="0" borderId="32" xfId="0" applyBorder="1" applyAlignment="1">
      <alignment horizontal="left" vertical="center"/>
    </xf>
    <xf numFmtId="0" fontId="0" fillId="0" borderId="0" xfId="0" applyAlignment="1">
      <alignment horizontal="right" vertical="center"/>
    </xf>
    <xf numFmtId="177" fontId="0" fillId="0" borderId="27" xfId="0" applyNumberFormat="1" applyBorder="1" applyAlignment="1">
      <alignment horizontal="center" vertical="center"/>
    </xf>
    <xf numFmtId="0" fontId="0" fillId="0" borderId="27" xfId="0" applyBorder="1" applyAlignment="1">
      <alignment horizontal="left" vertical="center" wrapText="1"/>
    </xf>
    <xf numFmtId="177" fontId="0" fillId="0" borderId="3" xfId="0" applyNumberFormat="1" applyBorder="1" applyAlignment="1">
      <alignment horizontal="center" vertical="center"/>
    </xf>
    <xf numFmtId="183" fontId="0" fillId="0" borderId="1" xfId="0" applyNumberFormat="1" applyBorder="1" applyAlignment="1">
      <alignment horizontal="center" vertical="center"/>
    </xf>
    <xf numFmtId="0" fontId="0" fillId="0" borderId="0" xfId="0" applyAlignment="1">
      <alignment horizontal="center" vertical="center" shrinkToFit="1"/>
    </xf>
    <xf numFmtId="0" fontId="0" fillId="0" borderId="26" xfId="0" applyBorder="1" applyAlignment="1">
      <alignment horizontal="left" vertical="center"/>
    </xf>
    <xf numFmtId="0" fontId="0" fillId="0" borderId="6" xfId="0" applyBorder="1" applyAlignment="1">
      <alignment horizontal="left" vertical="center"/>
    </xf>
    <xf numFmtId="183" fontId="16" fillId="0" borderId="1" xfId="0" applyNumberFormat="1" applyFont="1" applyBorder="1" applyAlignment="1">
      <alignment horizontal="center" vertical="center"/>
    </xf>
    <xf numFmtId="183" fontId="16" fillId="0" borderId="3" xfId="0" applyNumberFormat="1" applyFont="1" applyBorder="1" applyAlignment="1">
      <alignment horizontal="center" vertical="center"/>
    </xf>
    <xf numFmtId="183" fontId="8" fillId="0" borderId="4" xfId="0" applyNumberFormat="1" applyFont="1" applyBorder="1" applyAlignment="1">
      <alignment horizontal="center" vertical="center"/>
    </xf>
    <xf numFmtId="0" fontId="8" fillId="0" borderId="4" xfId="0" applyFont="1" applyBorder="1" applyAlignment="1">
      <alignment horizontal="left" vertical="center" wrapText="1"/>
    </xf>
    <xf numFmtId="183" fontId="0" fillId="0" borderId="0" xfId="0" applyNumberFormat="1" applyAlignment="1">
      <alignment horizontal="center" vertical="center"/>
    </xf>
    <xf numFmtId="184" fontId="8" fillId="0" borderId="3" xfId="0" applyNumberFormat="1" applyFont="1" applyBorder="1" applyAlignment="1">
      <alignment horizontal="center" vertical="center"/>
    </xf>
    <xf numFmtId="185" fontId="0" fillId="0" borderId="4" xfId="0" applyNumberFormat="1" applyBorder="1" applyAlignment="1">
      <alignment horizontal="center" vertical="center"/>
    </xf>
    <xf numFmtId="0" fontId="0" fillId="0" borderId="30" xfId="0" applyBorder="1" applyAlignment="1">
      <alignment horizontal="left" vertical="center"/>
    </xf>
    <xf numFmtId="177" fontId="0" fillId="0" borderId="6" xfId="0" applyNumberFormat="1" applyBorder="1" applyAlignment="1">
      <alignment horizontal="center" vertical="center"/>
    </xf>
    <xf numFmtId="178" fontId="0" fillId="0" borderId="1" xfId="0" applyNumberFormat="1" applyBorder="1">
      <alignment vertical="center"/>
    </xf>
    <xf numFmtId="179" fontId="0" fillId="0" borderId="6" xfId="0" applyNumberFormat="1" applyBorder="1" applyAlignment="1">
      <alignment horizontal="center" vertical="center"/>
    </xf>
    <xf numFmtId="0" fontId="0" fillId="0" borderId="8" xfId="0" applyBorder="1" applyAlignment="1">
      <alignment horizontal="center" vertical="center" shrinkToFit="1"/>
    </xf>
    <xf numFmtId="0" fontId="30" fillId="0" borderId="0" xfId="0" applyFont="1">
      <alignment vertical="center"/>
    </xf>
    <xf numFmtId="0" fontId="31" fillId="0" borderId="0" xfId="0" applyFont="1">
      <alignment vertical="center"/>
    </xf>
    <xf numFmtId="177" fontId="0" fillId="0" borderId="0" xfId="0" applyNumberFormat="1" applyAlignment="1">
      <alignment horizontal="center" vertical="center"/>
    </xf>
    <xf numFmtId="179" fontId="0" fillId="0" borderId="0" xfId="0" applyNumberFormat="1" applyAlignment="1">
      <alignment horizontal="left" vertical="center"/>
    </xf>
    <xf numFmtId="9" fontId="0" fillId="4" borderId="1" xfId="0" applyNumberFormat="1" applyFill="1" applyBorder="1" applyAlignment="1">
      <alignment horizontal="center" vertical="center"/>
    </xf>
    <xf numFmtId="9" fontId="0" fillId="3" borderId="1" xfId="0" applyNumberFormat="1" applyFill="1" applyBorder="1" applyAlignment="1">
      <alignment horizontal="center" vertical="center"/>
    </xf>
    <xf numFmtId="178" fontId="0" fillId="3" borderId="1" xfId="0" applyNumberFormat="1" applyFill="1" applyBorder="1" applyAlignment="1">
      <alignment horizontal="center" vertical="center"/>
    </xf>
    <xf numFmtId="179" fontId="0" fillId="5" borderId="1" xfId="0" applyNumberFormat="1" applyFill="1" applyBorder="1" applyAlignment="1">
      <alignment horizontal="center" vertical="center"/>
    </xf>
    <xf numFmtId="9" fontId="0" fillId="5" borderId="1" xfId="0" applyNumberFormat="1" applyFill="1" applyBorder="1" applyAlignment="1">
      <alignment horizontal="center" vertical="center"/>
    </xf>
    <xf numFmtId="0" fontId="16" fillId="5" borderId="1" xfId="0" applyFont="1" applyFill="1" applyBorder="1" applyAlignment="1">
      <alignment horizontal="center" vertical="center"/>
    </xf>
    <xf numFmtId="0" fontId="8" fillId="5" borderId="1" xfId="0" applyFont="1" applyFill="1" applyBorder="1" applyAlignment="1">
      <alignment horizontal="center" vertical="center" shrinkToFit="1"/>
    </xf>
    <xf numFmtId="0" fontId="8" fillId="5" borderId="2" xfId="0" applyFont="1" applyFill="1" applyBorder="1" applyAlignment="1">
      <alignment horizontal="left" vertical="center"/>
    </xf>
    <xf numFmtId="0" fontId="8" fillId="3" borderId="6" xfId="0" applyFont="1" applyFill="1" applyBorder="1">
      <alignment vertical="center"/>
    </xf>
    <xf numFmtId="0" fontId="37" fillId="0" borderId="0" xfId="0" applyFont="1" applyAlignment="1">
      <alignment horizontal="right" vertical="center"/>
    </xf>
    <xf numFmtId="188" fontId="0" fillId="0" borderId="1" xfId="0" applyNumberFormat="1" applyBorder="1" applyAlignment="1">
      <alignment horizontal="center" vertical="center"/>
    </xf>
    <xf numFmtId="0" fontId="0" fillId="0" borderId="1" xfId="0" applyBorder="1" applyAlignment="1">
      <alignment horizontal="center" vertical="center" shrinkToFit="1"/>
    </xf>
    <xf numFmtId="10" fontId="0" fillId="0" borderId="1" xfId="0" applyNumberFormat="1" applyBorder="1" applyAlignment="1">
      <alignment horizontal="center" vertical="center"/>
    </xf>
    <xf numFmtId="182" fontId="0" fillId="0" borderId="1" xfId="0" applyNumberFormat="1" applyBorder="1" applyAlignment="1">
      <alignment horizontal="left" vertical="center"/>
    </xf>
    <xf numFmtId="0" fontId="42" fillId="0" borderId="0" xfId="8" applyFont="1">
      <alignment vertical="center"/>
    </xf>
    <xf numFmtId="0" fontId="41" fillId="0" borderId="0" xfId="8" applyAlignment="1">
      <alignment horizontal="center" vertical="center"/>
    </xf>
    <xf numFmtId="0" fontId="41" fillId="0" borderId="0" xfId="8">
      <alignment vertical="center"/>
    </xf>
    <xf numFmtId="0" fontId="41" fillId="0" borderId="1" xfId="8" applyBorder="1" applyAlignment="1">
      <alignment horizontal="center" vertical="center"/>
    </xf>
    <xf numFmtId="3" fontId="41" fillId="0" borderId="1" xfId="8" applyNumberFormat="1" applyBorder="1" applyAlignment="1">
      <alignment horizontal="center" vertical="center"/>
    </xf>
    <xf numFmtId="0" fontId="41" fillId="0" borderId="0" xfId="8" applyAlignment="1">
      <alignment horizontal="left" vertical="center" shrinkToFit="1"/>
    </xf>
    <xf numFmtId="0" fontId="41" fillId="0" borderId="1" xfId="8" applyBorder="1" applyAlignment="1">
      <alignment horizontal="center" vertical="center" shrinkToFit="1"/>
    </xf>
    <xf numFmtId="0" fontId="41" fillId="0" borderId="0" xfId="8" applyAlignment="1">
      <alignment horizontal="center" vertical="center" shrinkToFit="1"/>
    </xf>
    <xf numFmtId="0" fontId="45" fillId="0" borderId="0" xfId="8" applyFont="1" applyAlignment="1">
      <alignment vertical="top" wrapText="1"/>
    </xf>
    <xf numFmtId="0" fontId="41" fillId="0" borderId="0" xfId="8" applyAlignment="1">
      <alignment horizontal="center" vertical="center" textRotation="255"/>
    </xf>
    <xf numFmtId="0" fontId="41" fillId="0" borderId="0" xfId="8" applyAlignment="1">
      <alignment horizontal="center" vertical="center" wrapText="1"/>
    </xf>
    <xf numFmtId="3" fontId="41" fillId="0" borderId="0" xfId="8" applyNumberFormat="1">
      <alignment vertical="center"/>
    </xf>
    <xf numFmtId="0" fontId="41" fillId="0" borderId="6" xfId="8" applyBorder="1" applyAlignment="1">
      <alignment horizontal="center" vertical="center"/>
    </xf>
    <xf numFmtId="0" fontId="49" fillId="0" borderId="1" xfId="8" applyFont="1" applyBorder="1" applyAlignment="1">
      <alignment horizontal="center" vertical="center" wrapText="1"/>
    </xf>
    <xf numFmtId="189" fontId="41" fillId="0" borderId="1" xfId="8" applyNumberFormat="1" applyBorder="1">
      <alignment vertical="center"/>
    </xf>
    <xf numFmtId="176" fontId="41" fillId="0" borderId="1" xfId="8" applyNumberFormat="1" applyBorder="1">
      <alignment vertical="center"/>
    </xf>
    <xf numFmtId="3" fontId="41" fillId="0" borderId="1" xfId="8" applyNumberFormat="1" applyBorder="1">
      <alignment vertical="center"/>
    </xf>
    <xf numFmtId="0" fontId="41" fillId="0" borderId="1" xfId="8" applyBorder="1">
      <alignment vertical="center"/>
    </xf>
    <xf numFmtId="0" fontId="41" fillId="0" borderId="1" xfId="8" applyBorder="1" applyAlignment="1">
      <alignment horizontal="center" vertical="center" wrapText="1"/>
    </xf>
    <xf numFmtId="1" fontId="41" fillId="0" borderId="1" xfId="8" applyNumberFormat="1" applyBorder="1">
      <alignment vertical="center"/>
    </xf>
    <xf numFmtId="0" fontId="0" fillId="5" borderId="6" xfId="0" applyFill="1" applyBorder="1" applyAlignment="1">
      <alignment horizontal="center" vertical="center"/>
    </xf>
    <xf numFmtId="0" fontId="0" fillId="5" borderId="2" xfId="0" applyFill="1" applyBorder="1" applyAlignment="1">
      <alignment horizontal="center" vertical="center"/>
    </xf>
    <xf numFmtId="0" fontId="0" fillId="5" borderId="6" xfId="0" applyFill="1" applyBorder="1" applyAlignment="1">
      <alignment horizontal="left" vertical="center"/>
    </xf>
    <xf numFmtId="0" fontId="8" fillId="5" borderId="2" xfId="0" applyFont="1" applyFill="1" applyBorder="1" applyAlignment="1">
      <alignment horizontal="center" vertical="center"/>
    </xf>
    <xf numFmtId="38" fontId="4" fillId="0" borderId="1" xfId="1" applyFont="1" applyBorder="1" applyAlignment="1">
      <alignment horizontal="center" vertical="center"/>
    </xf>
    <xf numFmtId="0" fontId="4" fillId="0" borderId="1" xfId="0" applyFont="1" applyBorder="1" applyAlignment="1">
      <alignment horizontal="center" vertical="center" wrapText="1"/>
    </xf>
    <xf numFmtId="176" fontId="4" fillId="7" borderId="1" xfId="0" applyNumberFormat="1" applyFont="1" applyFill="1" applyBorder="1" applyAlignment="1">
      <alignment horizontal="center" vertical="center" wrapText="1"/>
    </xf>
    <xf numFmtId="0" fontId="4" fillId="7" borderId="1" xfId="0" applyFont="1" applyFill="1" applyBorder="1" applyAlignment="1">
      <alignment horizontal="left" vertical="center"/>
    </xf>
    <xf numFmtId="0" fontId="53" fillId="0" borderId="0" xfId="8" applyFont="1">
      <alignment vertical="center"/>
    </xf>
    <xf numFmtId="0" fontId="41" fillId="5" borderId="1" xfId="8" applyFill="1" applyBorder="1" applyAlignment="1">
      <alignment horizontal="center" vertical="center"/>
    </xf>
    <xf numFmtId="3" fontId="41" fillId="5" borderId="1" xfId="8" applyNumberFormat="1" applyFill="1" applyBorder="1" applyAlignment="1">
      <alignment horizontal="center" vertical="center"/>
    </xf>
    <xf numFmtId="0" fontId="41" fillId="5" borderId="1" xfId="8" applyFill="1" applyBorder="1" applyAlignment="1">
      <alignment horizontal="center" vertical="center" shrinkToFit="1"/>
    </xf>
    <xf numFmtId="0" fontId="41" fillId="5" borderId="7" xfId="8" applyFill="1" applyBorder="1" applyAlignment="1">
      <alignment horizontal="center" vertical="center"/>
    </xf>
    <xf numFmtId="0" fontId="41" fillId="5" borderId="6" xfId="8" applyFill="1" applyBorder="1">
      <alignment vertical="center"/>
    </xf>
    <xf numFmtId="0" fontId="41" fillId="5" borderId="7" xfId="8" applyFill="1" applyBorder="1">
      <alignment vertical="center"/>
    </xf>
    <xf numFmtId="0" fontId="41" fillId="5" borderId="2" xfId="8" applyFill="1" applyBorder="1">
      <alignment vertical="center"/>
    </xf>
    <xf numFmtId="0" fontId="11" fillId="0" borderId="0" xfId="2">
      <alignment vertical="center"/>
    </xf>
    <xf numFmtId="0" fontId="8" fillId="5" borderId="1" xfId="0" applyFont="1" applyFill="1" applyBorder="1" applyAlignment="1">
      <alignment horizontal="left" vertical="center"/>
    </xf>
    <xf numFmtId="0" fontId="8" fillId="5" borderId="3" xfId="0" applyFont="1" applyFill="1" applyBorder="1" applyAlignment="1">
      <alignment horizontal="left" vertical="center"/>
    </xf>
    <xf numFmtId="0" fontId="8" fillId="5" borderId="3" xfId="0" applyFont="1" applyFill="1" applyBorder="1" applyAlignment="1">
      <alignment horizontal="center" vertical="center"/>
    </xf>
    <xf numFmtId="0" fontId="8" fillId="5" borderId="4" xfId="0" applyFont="1" applyFill="1" applyBorder="1" applyAlignment="1">
      <alignment horizontal="left" vertical="center"/>
    </xf>
    <xf numFmtId="0" fontId="8" fillId="5" borderId="4" xfId="0" applyFont="1" applyFill="1" applyBorder="1" applyAlignment="1">
      <alignment horizontal="center" vertical="center"/>
    </xf>
    <xf numFmtId="0" fontId="0" fillId="5" borderId="1" xfId="0" applyFill="1" applyBorder="1" applyAlignment="1">
      <alignment horizontal="center" vertical="center" shrinkToFit="1"/>
    </xf>
    <xf numFmtId="0" fontId="8" fillId="5" borderId="1" xfId="0" applyFont="1" applyFill="1" applyBorder="1" applyAlignment="1">
      <alignment horizontal="center" vertical="center" wrapText="1"/>
    </xf>
    <xf numFmtId="0" fontId="8" fillId="5" borderId="1" xfId="0" applyFont="1" applyFill="1" applyBorder="1">
      <alignment vertical="center"/>
    </xf>
    <xf numFmtId="177" fontId="8" fillId="5" borderId="1" xfId="0" applyNumberFormat="1" applyFont="1" applyFill="1" applyBorder="1">
      <alignment vertical="center"/>
    </xf>
    <xf numFmtId="179" fontId="8" fillId="5" borderId="1" xfId="0" applyNumberFormat="1" applyFont="1" applyFill="1" applyBorder="1">
      <alignment vertical="center"/>
    </xf>
    <xf numFmtId="177" fontId="8" fillId="3" borderId="6" xfId="0" applyNumberFormat="1" applyFont="1" applyFill="1" applyBorder="1" applyAlignment="1">
      <alignment horizontal="center" vertical="center"/>
    </xf>
    <xf numFmtId="179" fontId="8" fillId="3" borderId="6" xfId="0" applyNumberFormat="1" applyFont="1" applyFill="1" applyBorder="1" applyAlignment="1">
      <alignment horizontal="center" vertical="center"/>
    </xf>
    <xf numFmtId="0" fontId="0" fillId="3" borderId="1" xfId="0" applyFill="1" applyBorder="1" applyAlignment="1">
      <alignment horizontal="center" vertical="center"/>
    </xf>
    <xf numFmtId="177" fontId="0" fillId="3" borderId="6" xfId="0" applyNumberFormat="1" applyFill="1" applyBorder="1" applyAlignment="1">
      <alignment horizontal="center" vertical="center"/>
    </xf>
    <xf numFmtId="177" fontId="0" fillId="3" borderId="32" xfId="0" applyNumberFormat="1" applyFill="1" applyBorder="1" applyAlignment="1">
      <alignment horizontal="center" vertical="center"/>
    </xf>
    <xf numFmtId="177" fontId="0" fillId="3" borderId="26" xfId="0" applyNumberFormat="1" applyFill="1" applyBorder="1" applyAlignment="1">
      <alignment horizontal="center" vertical="center"/>
    </xf>
    <xf numFmtId="177" fontId="8" fillId="3" borderId="3" xfId="0" applyNumberFormat="1" applyFont="1" applyFill="1" applyBorder="1" applyAlignment="1">
      <alignment horizontal="center" vertical="center"/>
    </xf>
    <xf numFmtId="185" fontId="8" fillId="3" borderId="1" xfId="0" applyNumberFormat="1" applyFont="1" applyFill="1" applyBorder="1" applyAlignment="1">
      <alignment horizontal="center" vertical="center"/>
    </xf>
    <xf numFmtId="183" fontId="8" fillId="3" borderId="4" xfId="0" applyNumberFormat="1" applyFont="1" applyFill="1" applyBorder="1" applyAlignment="1">
      <alignment horizontal="center" vertical="center"/>
    </xf>
    <xf numFmtId="9" fontId="8" fillId="3" borderId="6" xfId="0" applyNumberFormat="1" applyFont="1" applyFill="1" applyBorder="1" applyAlignment="1">
      <alignment horizontal="center" vertical="center"/>
    </xf>
    <xf numFmtId="177" fontId="8" fillId="3" borderId="32" xfId="0" applyNumberFormat="1" applyFont="1" applyFill="1" applyBorder="1" applyAlignment="1">
      <alignment horizontal="center" vertical="center"/>
    </xf>
    <xf numFmtId="177" fontId="8" fillId="3" borderId="28" xfId="0" applyNumberFormat="1" applyFont="1" applyFill="1" applyBorder="1" applyAlignment="1">
      <alignment horizontal="center" vertical="center"/>
    </xf>
    <xf numFmtId="0" fontId="0" fillId="5" borderId="3" xfId="0" applyFill="1" applyBorder="1" applyAlignment="1">
      <alignment horizontal="center" vertical="center"/>
    </xf>
    <xf numFmtId="0" fontId="0" fillId="5" borderId="4" xfId="0" applyFill="1" applyBorder="1" applyAlignment="1">
      <alignment horizontal="center" vertical="center"/>
    </xf>
    <xf numFmtId="0" fontId="0" fillId="5" borderId="3" xfId="0" applyFill="1" applyBorder="1" applyAlignment="1">
      <alignment horizontal="center" vertical="center" shrinkToFit="1"/>
    </xf>
    <xf numFmtId="0" fontId="0" fillId="5" borderId="4" xfId="0" applyFill="1" applyBorder="1" applyAlignment="1">
      <alignment vertical="center" wrapText="1"/>
    </xf>
    <xf numFmtId="0" fontId="0" fillId="5" borderId="27" xfId="0" applyFill="1" applyBorder="1" applyAlignment="1">
      <alignment vertical="center" wrapText="1"/>
    </xf>
    <xf numFmtId="0" fontId="8" fillId="5" borderId="1" xfId="0" applyFont="1" applyFill="1" applyBorder="1" applyAlignment="1">
      <alignment vertical="center" wrapText="1"/>
    </xf>
    <xf numFmtId="0" fontId="8" fillId="5" borderId="4" xfId="0" applyFont="1" applyFill="1" applyBorder="1" applyAlignment="1">
      <alignment vertical="center" wrapText="1"/>
    </xf>
    <xf numFmtId="0" fontId="8" fillId="5" borderId="27" xfId="0" quotePrefix="1" applyFont="1" applyFill="1" applyBorder="1" applyAlignment="1">
      <alignment vertical="center" wrapText="1"/>
    </xf>
    <xf numFmtId="0" fontId="8" fillId="5" borderId="4" xfId="0" quotePrefix="1" applyFont="1" applyFill="1" applyBorder="1" applyAlignment="1">
      <alignment vertical="center" wrapText="1"/>
    </xf>
    <xf numFmtId="0" fontId="8" fillId="5" borderId="28" xfId="0" applyFont="1" applyFill="1" applyBorder="1" applyAlignment="1">
      <alignment horizontal="left" vertical="center"/>
    </xf>
    <xf numFmtId="0" fontId="8" fillId="5" borderId="26" xfId="0" applyFont="1" applyFill="1" applyBorder="1" applyAlignment="1">
      <alignment horizontal="left" vertical="center"/>
    </xf>
    <xf numFmtId="0" fontId="0" fillId="5" borderId="27" xfId="0" applyFill="1" applyBorder="1" applyAlignment="1">
      <alignment horizontal="center" vertical="center"/>
    </xf>
    <xf numFmtId="0" fontId="8" fillId="5" borderId="6" xfId="0" applyFont="1" applyFill="1" applyBorder="1" applyAlignment="1">
      <alignment horizontal="left" vertical="center"/>
    </xf>
    <xf numFmtId="0" fontId="8" fillId="5" borderId="30" xfId="0" applyFont="1" applyFill="1" applyBorder="1" applyAlignment="1">
      <alignment horizontal="center" vertical="center"/>
    </xf>
    <xf numFmtId="0" fontId="0" fillId="5" borderId="3" xfId="0" applyFill="1" applyBorder="1" applyAlignment="1">
      <alignment horizontal="left" vertical="center"/>
    </xf>
    <xf numFmtId="0" fontId="8" fillId="5" borderId="32" xfId="0" applyFont="1" applyFill="1" applyBorder="1" applyAlignment="1">
      <alignment horizontal="left" vertical="center"/>
    </xf>
    <xf numFmtId="0" fontId="0" fillId="5" borderId="32" xfId="0" applyFill="1" applyBorder="1" applyAlignment="1">
      <alignment horizontal="center" vertical="center" wrapText="1"/>
    </xf>
    <xf numFmtId="0" fontId="0" fillId="5" borderId="5" xfId="0" applyFill="1" applyBorder="1" applyAlignment="1">
      <alignment horizontal="center" vertical="center" wrapText="1"/>
    </xf>
    <xf numFmtId="0" fontId="8" fillId="5" borderId="27" xfId="0" applyFont="1" applyFill="1" applyBorder="1">
      <alignment vertical="center"/>
    </xf>
    <xf numFmtId="0" fontId="8" fillId="5" borderId="4" xfId="0" applyFont="1" applyFill="1" applyBorder="1">
      <alignment vertical="center"/>
    </xf>
    <xf numFmtId="0" fontId="8" fillId="5" borderId="3" xfId="0" applyFont="1" applyFill="1" applyBorder="1">
      <alignment vertical="center"/>
    </xf>
    <xf numFmtId="0" fontId="8" fillId="5" borderId="3"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0" fillId="5" borderId="28" xfId="0" applyFill="1" applyBorder="1" applyAlignment="1">
      <alignment horizontal="left" vertical="center"/>
    </xf>
    <xf numFmtId="0" fontId="0" fillId="5" borderId="26" xfId="0" applyFill="1" applyBorder="1" applyAlignment="1">
      <alignment horizontal="left" vertical="center"/>
    </xf>
    <xf numFmtId="0" fontId="0" fillId="5" borderId="26" xfId="0" applyFill="1" applyBorder="1" applyAlignment="1">
      <alignment horizontal="left" vertical="center" wrapText="1"/>
    </xf>
    <xf numFmtId="181" fontId="8" fillId="5" borderId="6" xfId="0" applyNumberFormat="1" applyFont="1" applyFill="1" applyBorder="1" applyAlignment="1">
      <alignment horizontal="center" vertical="center"/>
    </xf>
    <xf numFmtId="0" fontId="0" fillId="5" borderId="3" xfId="0" applyFill="1" applyBorder="1" applyAlignment="1">
      <alignment horizontal="center" vertical="center" wrapText="1"/>
    </xf>
    <xf numFmtId="0" fontId="8" fillId="5" borderId="31" xfId="0" applyFont="1" applyFill="1" applyBorder="1" applyAlignment="1">
      <alignment horizontal="center" vertical="center"/>
    </xf>
    <xf numFmtId="0" fontId="8" fillId="5" borderId="27" xfId="0" applyFont="1" applyFill="1" applyBorder="1" applyAlignment="1">
      <alignment horizontal="center" vertical="center"/>
    </xf>
    <xf numFmtId="0" fontId="26" fillId="5" borderId="1" xfId="0" applyFont="1" applyFill="1" applyBorder="1">
      <alignment vertical="center"/>
    </xf>
    <xf numFmtId="0" fontId="0" fillId="5" borderId="4" xfId="0" applyFill="1" applyBorder="1" applyAlignment="1">
      <alignment horizontal="center" vertical="center" wrapText="1"/>
    </xf>
    <xf numFmtId="0" fontId="16" fillId="5" borderId="1" xfId="0" applyFont="1" applyFill="1" applyBorder="1" applyAlignment="1">
      <alignment horizontal="center" vertical="center" wrapText="1"/>
    </xf>
    <xf numFmtId="0" fontId="0" fillId="5" borderId="2" xfId="0" applyFill="1" applyBorder="1" applyAlignment="1">
      <alignment horizontal="center" vertical="center" wrapText="1"/>
    </xf>
    <xf numFmtId="0" fontId="16" fillId="5" borderId="3" xfId="0" applyFont="1" applyFill="1" applyBorder="1">
      <alignment vertical="center"/>
    </xf>
    <xf numFmtId="0" fontId="8" fillId="5" borderId="30" xfId="0" applyFont="1" applyFill="1" applyBorder="1" applyAlignment="1">
      <alignment horizontal="center" vertical="center" wrapText="1"/>
    </xf>
    <xf numFmtId="0" fontId="8" fillId="5" borderId="2" xfId="0" applyFont="1" applyFill="1" applyBorder="1" applyAlignment="1">
      <alignment horizontal="center" vertical="center" wrapText="1"/>
    </xf>
    <xf numFmtId="0" fontId="23" fillId="5" borderId="1" xfId="0" applyFont="1" applyFill="1" applyBorder="1" applyAlignment="1">
      <alignment horizontal="left" vertical="center"/>
    </xf>
    <xf numFmtId="0" fontId="23" fillId="5" borderId="1" xfId="0" applyFont="1" applyFill="1" applyBorder="1">
      <alignment vertical="center"/>
    </xf>
    <xf numFmtId="38" fontId="8" fillId="3" borderId="6" xfId="1" applyFont="1" applyFill="1" applyBorder="1" applyAlignment="1">
      <alignment horizontal="center" vertical="center"/>
    </xf>
    <xf numFmtId="179" fontId="13" fillId="3" borderId="6" xfId="3" applyNumberFormat="1" applyFont="1" applyFill="1" applyBorder="1" applyAlignment="1">
      <alignment horizontal="center" vertical="center"/>
    </xf>
    <xf numFmtId="38" fontId="8" fillId="3" borderId="1" xfId="1" applyFont="1" applyFill="1" applyBorder="1" applyAlignment="1">
      <alignment horizontal="center" vertical="center"/>
    </xf>
    <xf numFmtId="38" fontId="8" fillId="3" borderId="32" xfId="1" applyFont="1" applyFill="1" applyBorder="1" applyAlignment="1">
      <alignment horizontal="center" vertical="center"/>
    </xf>
    <xf numFmtId="0" fontId="29" fillId="3" borderId="1" xfId="4" applyFill="1" applyBorder="1" applyAlignment="1">
      <alignment horizontal="center" vertical="center"/>
    </xf>
    <xf numFmtId="0" fontId="13" fillId="9" borderId="0" xfId="0" applyFont="1" applyFill="1">
      <alignment vertical="center"/>
    </xf>
    <xf numFmtId="0" fontId="0" fillId="9" borderId="0" xfId="0" applyFill="1">
      <alignment vertical="center"/>
    </xf>
    <xf numFmtId="0" fontId="0" fillId="9" borderId="1" xfId="0" applyFill="1" applyBorder="1">
      <alignment vertical="center"/>
    </xf>
    <xf numFmtId="177" fontId="0" fillId="9" borderId="1" xfId="0" applyNumberFormat="1" applyFill="1" applyBorder="1">
      <alignment vertical="center"/>
    </xf>
    <xf numFmtId="38" fontId="6" fillId="3" borderId="1" xfId="1" applyFont="1" applyFill="1" applyBorder="1">
      <alignment vertical="center"/>
    </xf>
    <xf numFmtId="38" fontId="0" fillId="0" borderId="2" xfId="0" applyNumberFormat="1" applyBorder="1" applyAlignment="1">
      <alignment horizontal="center" vertical="center"/>
    </xf>
    <xf numFmtId="0" fontId="0" fillId="5" borderId="4" xfId="0" applyFill="1" applyBorder="1">
      <alignment vertical="center"/>
    </xf>
    <xf numFmtId="0" fontId="0" fillId="4" borderId="4" xfId="0" applyFill="1" applyBorder="1">
      <alignment vertical="center"/>
    </xf>
    <xf numFmtId="0" fontId="0" fillId="5" borderId="11" xfId="0" applyFill="1" applyBorder="1">
      <alignment vertical="center"/>
    </xf>
    <xf numFmtId="0" fontId="0" fillId="5" borderId="12" xfId="0" applyFill="1" applyBorder="1">
      <alignment vertical="center"/>
    </xf>
    <xf numFmtId="0" fontId="0" fillId="5" borderId="14" xfId="0" applyFill="1" applyBorder="1">
      <alignment vertical="center"/>
    </xf>
    <xf numFmtId="0" fontId="0" fillId="5" borderId="34" xfId="0" applyFill="1" applyBorder="1" applyAlignment="1">
      <alignment horizontal="center" vertical="center"/>
    </xf>
    <xf numFmtId="0" fontId="0" fillId="5" borderId="34" xfId="0" applyFill="1" applyBorder="1">
      <alignment vertical="center"/>
    </xf>
    <xf numFmtId="0" fontId="0" fillId="5" borderId="35" xfId="0" applyFill="1" applyBorder="1">
      <alignment vertical="center"/>
    </xf>
    <xf numFmtId="0" fontId="0" fillId="5" borderId="24" xfId="0" applyFill="1" applyBorder="1">
      <alignment vertical="center"/>
    </xf>
    <xf numFmtId="0" fontId="0" fillId="5" borderId="16" xfId="0" applyFill="1" applyBorder="1" applyAlignment="1">
      <alignment horizontal="center" vertical="center" wrapText="1"/>
    </xf>
    <xf numFmtId="0" fontId="0" fillId="3" borderId="16" xfId="0" applyFill="1" applyBorder="1">
      <alignment vertical="center"/>
    </xf>
    <xf numFmtId="0" fontId="0" fillId="5" borderId="16" xfId="0" applyFill="1" applyBorder="1">
      <alignment vertical="center"/>
    </xf>
    <xf numFmtId="0" fontId="0" fillId="5" borderId="17" xfId="0" applyFill="1" applyBorder="1">
      <alignment vertical="center"/>
    </xf>
    <xf numFmtId="38" fontId="0" fillId="0" borderId="0" xfId="1" applyFont="1" applyFill="1" applyBorder="1">
      <alignment vertical="center"/>
    </xf>
    <xf numFmtId="0" fontId="6" fillId="9" borderId="0" xfId="0" applyFont="1" applyFill="1">
      <alignment vertical="center"/>
    </xf>
    <xf numFmtId="38" fontId="6" fillId="3" borderId="22" xfId="1" applyFont="1" applyFill="1" applyBorder="1">
      <alignment vertical="center"/>
    </xf>
    <xf numFmtId="0" fontId="4" fillId="5" borderId="23" xfId="0" applyFont="1" applyFill="1" applyBorder="1">
      <alignment vertical="center"/>
    </xf>
    <xf numFmtId="38" fontId="0" fillId="3" borderId="1" xfId="0" applyNumberFormat="1" applyFill="1" applyBorder="1">
      <alignment vertical="center"/>
    </xf>
    <xf numFmtId="40" fontId="0" fillId="3" borderId="1" xfId="1" applyNumberFormat="1" applyFont="1" applyFill="1" applyBorder="1">
      <alignment vertical="center"/>
    </xf>
    <xf numFmtId="40" fontId="0" fillId="3" borderId="11" xfId="1" applyNumberFormat="1" applyFont="1" applyFill="1" applyBorder="1">
      <alignment vertical="center"/>
    </xf>
    <xf numFmtId="40" fontId="0" fillId="3" borderId="16" xfId="1" applyNumberFormat="1" applyFont="1" applyFill="1" applyBorder="1">
      <alignment vertical="center"/>
    </xf>
    <xf numFmtId="40" fontId="0" fillId="3" borderId="4" xfId="1" applyNumberFormat="1" applyFont="1" applyFill="1" applyBorder="1">
      <alignment vertical="center"/>
    </xf>
    <xf numFmtId="0" fontId="13" fillId="0" borderId="0" xfId="0" applyFont="1">
      <alignment vertical="center"/>
    </xf>
    <xf numFmtId="0" fontId="4" fillId="3" borderId="1" xfId="0" applyFont="1" applyFill="1" applyBorder="1" applyAlignment="1">
      <alignment horizontal="center" vertical="center"/>
    </xf>
    <xf numFmtId="0" fontId="0" fillId="6" borderId="3" xfId="0" applyFill="1" applyBorder="1" applyAlignment="1">
      <alignment horizontal="center" vertical="center" wrapText="1"/>
    </xf>
    <xf numFmtId="38" fontId="8" fillId="3" borderId="1" xfId="0" applyNumberFormat="1" applyFont="1" applyFill="1" applyBorder="1">
      <alignment vertical="center"/>
    </xf>
    <xf numFmtId="40" fontId="8" fillId="3" borderId="1" xfId="0" applyNumberFormat="1" applyFont="1" applyFill="1" applyBorder="1">
      <alignment vertical="center"/>
    </xf>
    <xf numFmtId="38" fontId="0" fillId="5" borderId="1" xfId="1" applyFont="1" applyFill="1" applyBorder="1">
      <alignment vertical="center"/>
    </xf>
    <xf numFmtId="38" fontId="6" fillId="3" borderId="32" xfId="0" applyNumberFormat="1" applyFont="1" applyFill="1" applyBorder="1">
      <alignment vertical="center"/>
    </xf>
    <xf numFmtId="0" fontId="0" fillId="6" borderId="4" xfId="0" applyFill="1" applyBorder="1">
      <alignment vertical="center"/>
    </xf>
    <xf numFmtId="0" fontId="5" fillId="5" borderId="1" xfId="0" applyFont="1" applyFill="1" applyBorder="1" applyAlignment="1">
      <alignment horizontal="center" vertical="center" wrapText="1"/>
    </xf>
    <xf numFmtId="38" fontId="5" fillId="4" borderId="1" xfId="1" applyFont="1" applyFill="1" applyBorder="1" applyAlignment="1">
      <alignment horizontal="right" vertical="center"/>
    </xf>
    <xf numFmtId="0" fontId="5" fillId="5" borderId="1" xfId="0" applyFont="1" applyFill="1" applyBorder="1" applyAlignment="1">
      <alignment horizontal="center" vertical="center"/>
    </xf>
    <xf numFmtId="38" fontId="8" fillId="3" borderId="1" xfId="1" applyFont="1" applyFill="1" applyBorder="1" applyAlignment="1">
      <alignment horizontal="right" vertical="center"/>
    </xf>
    <xf numFmtId="38" fontId="5" fillId="3" borderId="1" xfId="1" applyFont="1" applyFill="1" applyBorder="1">
      <alignment vertical="center"/>
    </xf>
    <xf numFmtId="38" fontId="5" fillId="3" borderId="2" xfId="1" applyFont="1" applyFill="1" applyBorder="1">
      <alignment vertical="center"/>
    </xf>
    <xf numFmtId="38" fontId="5" fillId="0" borderId="0" xfId="1" applyFont="1">
      <alignment vertical="center"/>
    </xf>
    <xf numFmtId="0" fontId="5" fillId="9" borderId="1" xfId="0" applyFont="1" applyFill="1" applyBorder="1" applyAlignment="1">
      <alignment horizontal="center" vertical="center" wrapText="1"/>
    </xf>
    <xf numFmtId="38" fontId="5" fillId="9" borderId="1" xfId="1" applyFont="1" applyFill="1" applyBorder="1">
      <alignment vertical="center"/>
    </xf>
    <xf numFmtId="0" fontId="5" fillId="0" borderId="0" xfId="0" applyFont="1" applyAlignment="1">
      <alignment horizontal="center" vertical="center" wrapText="1"/>
    </xf>
    <xf numFmtId="38" fontId="5" fillId="0" borderId="0" xfId="1" applyFont="1" applyBorder="1">
      <alignment vertical="center"/>
    </xf>
    <xf numFmtId="0" fontId="6" fillId="0" borderId="0" xfId="0" applyFont="1" applyAlignment="1">
      <alignment horizontal="left" vertical="center" wrapText="1"/>
    </xf>
    <xf numFmtId="0" fontId="56" fillId="0" borderId="0" xfId="2" applyFont="1">
      <alignment vertical="center"/>
    </xf>
    <xf numFmtId="0" fontId="57" fillId="5" borderId="1" xfId="0" applyFont="1" applyFill="1" applyBorder="1" applyAlignment="1">
      <alignment horizontal="center" vertical="center"/>
    </xf>
    <xf numFmtId="0" fontId="57" fillId="5" borderId="1" xfId="0" applyFont="1" applyFill="1" applyBorder="1" applyAlignment="1">
      <alignment horizontal="justify" vertical="center"/>
    </xf>
    <xf numFmtId="38" fontId="57" fillId="3" borderId="1" xfId="1" applyFont="1" applyFill="1" applyBorder="1" applyAlignment="1">
      <alignment horizontal="center" vertical="center"/>
    </xf>
    <xf numFmtId="0" fontId="57" fillId="5" borderId="1" xfId="0" applyFont="1" applyFill="1" applyBorder="1" applyAlignment="1">
      <alignment horizontal="left" vertical="center"/>
    </xf>
    <xf numFmtId="0" fontId="57" fillId="4" borderId="1" xfId="0" applyFont="1" applyFill="1" applyBorder="1" applyAlignment="1">
      <alignment horizontal="center" vertical="center"/>
    </xf>
    <xf numFmtId="0" fontId="59" fillId="5" borderId="1" xfId="0" applyFont="1" applyFill="1" applyBorder="1" applyAlignment="1">
      <alignment horizontal="justify" vertical="center"/>
    </xf>
    <xf numFmtId="0" fontId="60" fillId="4" borderId="1" xfId="0" applyFont="1" applyFill="1" applyBorder="1" applyAlignment="1">
      <alignment horizontal="center" vertical="center"/>
    </xf>
    <xf numFmtId="191" fontId="5" fillId="0" borderId="0" xfId="1" applyNumberFormat="1" applyFont="1">
      <alignment vertical="center"/>
    </xf>
    <xf numFmtId="38" fontId="57" fillId="5" borderId="1" xfId="1" applyFont="1" applyFill="1" applyBorder="1" applyAlignment="1">
      <alignment horizontal="center" vertical="center"/>
    </xf>
    <xf numFmtId="0" fontId="6" fillId="5" borderId="1" xfId="0" applyFont="1" applyFill="1" applyBorder="1" applyAlignment="1">
      <alignment horizontal="center" vertical="center"/>
    </xf>
    <xf numFmtId="38" fontId="1" fillId="3" borderId="1" xfId="1" applyFont="1" applyFill="1" applyBorder="1">
      <alignment vertical="center"/>
    </xf>
    <xf numFmtId="2" fontId="5" fillId="3" borderId="1" xfId="0" applyNumberFormat="1" applyFont="1" applyFill="1" applyBorder="1" applyAlignment="1">
      <alignment horizontal="center" vertical="center"/>
    </xf>
    <xf numFmtId="2" fontId="0" fillId="3" borderId="1" xfId="0" applyNumberFormat="1" applyFill="1" applyBorder="1" applyAlignment="1">
      <alignment horizontal="center" vertical="center"/>
    </xf>
    <xf numFmtId="2" fontId="6" fillId="3" borderId="1" xfId="0" applyNumberFormat="1" applyFont="1" applyFill="1" applyBorder="1" applyAlignment="1">
      <alignment horizontal="center" vertical="center"/>
    </xf>
    <xf numFmtId="0" fontId="0" fillId="4" borderId="1" xfId="0" applyFill="1" applyBorder="1" applyAlignment="1">
      <alignment horizontal="right" vertical="center"/>
    </xf>
    <xf numFmtId="0" fontId="0" fillId="4" borderId="1" xfId="0" applyFill="1" applyBorder="1" applyAlignment="1">
      <alignment horizontal="right" vertical="center" wrapText="1"/>
    </xf>
    <xf numFmtId="2" fontId="6" fillId="3" borderId="1" xfId="0" applyNumberFormat="1" applyFont="1" applyFill="1" applyBorder="1">
      <alignment vertical="center"/>
    </xf>
    <xf numFmtId="2" fontId="0" fillId="0" borderId="0" xfId="0" applyNumberFormat="1">
      <alignment vertical="center"/>
    </xf>
    <xf numFmtId="2" fontId="5" fillId="4" borderId="1" xfId="0" applyNumberFormat="1" applyFont="1" applyFill="1" applyBorder="1">
      <alignment vertical="center"/>
    </xf>
    <xf numFmtId="2" fontId="5" fillId="4" borderId="2" xfId="0" applyNumberFormat="1" applyFont="1" applyFill="1" applyBorder="1">
      <alignment vertical="center"/>
    </xf>
    <xf numFmtId="0" fontId="0" fillId="12" borderId="1" xfId="0" applyFill="1" applyBorder="1">
      <alignment vertical="center"/>
    </xf>
    <xf numFmtId="0" fontId="0" fillId="12" borderId="11" xfId="0" applyFill="1" applyBorder="1" applyAlignment="1">
      <alignment horizontal="right" vertical="center"/>
    </xf>
    <xf numFmtId="0" fontId="0" fillId="12" borderId="1" xfId="0" applyFill="1" applyBorder="1" applyAlignment="1">
      <alignment horizontal="right" vertical="center"/>
    </xf>
    <xf numFmtId="0" fontId="0" fillId="12" borderId="16" xfId="0" applyFill="1" applyBorder="1" applyAlignment="1">
      <alignment horizontal="right" vertical="center"/>
    </xf>
    <xf numFmtId="0" fontId="0" fillId="12" borderId="4" xfId="0" applyFill="1" applyBorder="1" applyAlignment="1">
      <alignment horizontal="right" vertical="center"/>
    </xf>
    <xf numFmtId="0" fontId="8" fillId="12" borderId="4" xfId="0" applyFont="1" applyFill="1" applyBorder="1" applyAlignment="1">
      <alignment horizontal="right" vertical="center"/>
    </xf>
    <xf numFmtId="0" fontId="0" fillId="0" borderId="1" xfId="0" applyBorder="1" applyAlignment="1"/>
    <xf numFmtId="0" fontId="4" fillId="0" borderId="1" xfId="0" applyFont="1" applyBorder="1" applyAlignment="1">
      <alignment horizontal="center" vertical="center"/>
    </xf>
    <xf numFmtId="40" fontId="5" fillId="12" borderId="1" xfId="1" applyNumberFormat="1" applyFont="1" applyFill="1" applyBorder="1">
      <alignment vertical="center"/>
    </xf>
    <xf numFmtId="0" fontId="5" fillId="12" borderId="1" xfId="0" applyFont="1" applyFill="1" applyBorder="1" applyAlignment="1">
      <alignment horizontal="center" vertical="center"/>
    </xf>
    <xf numFmtId="38" fontId="5" fillId="9" borderId="1" xfId="1" applyFont="1" applyFill="1" applyBorder="1" applyAlignment="1">
      <alignment horizontal="center" vertical="center"/>
    </xf>
    <xf numFmtId="0" fontId="16" fillId="12" borderId="1" xfId="0" applyFont="1" applyFill="1" applyBorder="1" applyAlignment="1">
      <alignment horizontal="center" vertical="center"/>
    </xf>
    <xf numFmtId="0" fontId="8" fillId="12" borderId="1" xfId="0" applyFont="1" applyFill="1" applyBorder="1" applyAlignment="1">
      <alignment horizontal="center" vertical="center"/>
    </xf>
    <xf numFmtId="0" fontId="0" fillId="12" borderId="1" xfId="0" applyFill="1" applyBorder="1" applyAlignment="1">
      <alignment horizontal="center" vertical="center"/>
    </xf>
    <xf numFmtId="0" fontId="29" fillId="12" borderId="1" xfId="4" applyFill="1" applyBorder="1" applyAlignment="1">
      <alignment horizontal="center" vertical="center"/>
    </xf>
    <xf numFmtId="38" fontId="0" fillId="0" borderId="1" xfId="1" applyFont="1" applyBorder="1">
      <alignment vertical="center"/>
    </xf>
    <xf numFmtId="38" fontId="5" fillId="0" borderId="1" xfId="1" applyFont="1" applyBorder="1" applyAlignment="1">
      <alignment vertical="center"/>
    </xf>
    <xf numFmtId="38" fontId="6" fillId="0" borderId="1" xfId="1" applyFont="1" applyBorder="1" applyAlignment="1">
      <alignment vertical="center" wrapText="1"/>
    </xf>
    <xf numFmtId="0" fontId="61" fillId="0" borderId="0" xfId="0" applyFont="1" applyAlignment="1">
      <alignment horizontal="left" vertical="center"/>
    </xf>
    <xf numFmtId="0" fontId="62" fillId="0" borderId="0" xfId="2" applyFont="1" applyAlignment="1">
      <alignment horizontal="left" vertical="center"/>
    </xf>
    <xf numFmtId="0" fontId="63" fillId="0" borderId="0" xfId="0" applyFont="1" applyAlignment="1">
      <alignment horizontal="left" vertical="center"/>
    </xf>
    <xf numFmtId="0" fontId="33" fillId="0" borderId="0" xfId="0" applyFont="1">
      <alignment vertical="center"/>
    </xf>
    <xf numFmtId="0" fontId="11" fillId="0" borderId="0" xfId="2" applyAlignment="1">
      <alignment horizontal="left" vertical="center"/>
    </xf>
    <xf numFmtId="0" fontId="64" fillId="0" borderId="0" xfId="0" applyFont="1" applyAlignment="1">
      <alignment horizontal="left" vertical="center"/>
    </xf>
    <xf numFmtId="0" fontId="65" fillId="0" borderId="0" xfId="0" applyFont="1" applyAlignment="1">
      <alignment horizontal="justify" vertical="center"/>
    </xf>
    <xf numFmtId="0" fontId="65" fillId="0" borderId="0" xfId="0" applyFont="1" applyAlignment="1">
      <alignment horizontal="left" vertical="center" indent="1"/>
    </xf>
    <xf numFmtId="0" fontId="64" fillId="0" borderId="0" xfId="0" applyFont="1" applyAlignment="1">
      <alignment horizontal="left" vertical="center" indent="1"/>
    </xf>
    <xf numFmtId="38" fontId="0" fillId="9" borderId="1" xfId="1" applyFont="1" applyFill="1" applyBorder="1">
      <alignment vertical="center"/>
    </xf>
    <xf numFmtId="0" fontId="66" fillId="0" borderId="0" xfId="0" applyFont="1" applyAlignment="1">
      <alignment vertical="top" wrapText="1"/>
    </xf>
    <xf numFmtId="0" fontId="0" fillId="0" borderId="0" xfId="0" applyAlignment="1">
      <alignment vertical="top" wrapText="1"/>
    </xf>
    <xf numFmtId="0" fontId="0" fillId="0" borderId="41" xfId="0" applyBorder="1" applyAlignment="1">
      <alignment vertical="top" wrapText="1"/>
    </xf>
    <xf numFmtId="0" fontId="0" fillId="0" borderId="42" xfId="0" applyBorder="1" applyAlignment="1">
      <alignment vertical="top" wrapText="1"/>
    </xf>
    <xf numFmtId="0" fontId="66" fillId="0" borderId="0" xfId="0" applyFont="1" applyAlignment="1">
      <alignment horizontal="center" vertical="top" wrapText="1"/>
    </xf>
    <xf numFmtId="0" fontId="0" fillId="0" borderId="0" xfId="0" applyAlignment="1">
      <alignment horizontal="center" vertical="top" wrapText="1"/>
    </xf>
    <xf numFmtId="0" fontId="0" fillId="0" borderId="42" xfId="0" applyBorder="1" applyAlignment="1">
      <alignment horizontal="center" vertical="top" wrapText="1"/>
    </xf>
    <xf numFmtId="0" fontId="0" fillId="0" borderId="43" xfId="0" applyBorder="1" applyAlignment="1">
      <alignment horizontal="center" vertical="top" wrapText="1"/>
    </xf>
    <xf numFmtId="0" fontId="4" fillId="5" borderId="1" xfId="0" applyFont="1" applyFill="1" applyBorder="1" applyAlignment="1">
      <alignment vertical="center" wrapText="1"/>
    </xf>
    <xf numFmtId="38" fontId="0" fillId="4" borderId="1" xfId="1" applyFont="1" applyFill="1" applyBorder="1">
      <alignment vertical="center"/>
    </xf>
    <xf numFmtId="0" fontId="17" fillId="0" borderId="0" xfId="0" applyFont="1" applyAlignment="1">
      <alignment horizontal="center" vertical="center"/>
    </xf>
    <xf numFmtId="38" fontId="8" fillId="0" borderId="0" xfId="1" applyFont="1" applyFill="1" applyBorder="1" applyAlignment="1">
      <alignment horizontal="center" vertical="center"/>
    </xf>
    <xf numFmtId="0" fontId="0" fillId="5" borderId="26" xfId="0" applyFill="1" applyBorder="1" applyAlignment="1">
      <alignment horizontal="center" vertical="center"/>
    </xf>
    <xf numFmtId="0" fontId="16" fillId="5" borderId="3" xfId="0" applyFont="1" applyFill="1" applyBorder="1" applyAlignment="1">
      <alignment horizontal="center" vertical="center"/>
    </xf>
    <xf numFmtId="0" fontId="6" fillId="0" borderId="0" xfId="0" applyFont="1" applyAlignment="1">
      <alignment horizontal="right" vertical="center"/>
    </xf>
    <xf numFmtId="0" fontId="16" fillId="5" borderId="3" xfId="0" applyFont="1" applyFill="1" applyBorder="1" applyAlignment="1">
      <alignment horizontal="center" vertical="center" shrinkToFit="1"/>
    </xf>
    <xf numFmtId="9" fontId="8" fillId="4" borderId="3" xfId="0" applyNumberFormat="1" applyFont="1" applyFill="1" applyBorder="1" applyAlignment="1">
      <alignment horizontal="center" vertical="center"/>
    </xf>
    <xf numFmtId="183" fontId="8" fillId="0" borderId="0" xfId="0" applyNumberFormat="1" applyFont="1" applyAlignment="1">
      <alignment horizontal="center" vertical="center"/>
    </xf>
    <xf numFmtId="0" fontId="16" fillId="0" borderId="0" xfId="0" applyFont="1" applyAlignment="1">
      <alignment horizontal="center" vertical="center" shrinkToFit="1"/>
    </xf>
    <xf numFmtId="177" fontId="8" fillId="0" borderId="0" xfId="0" applyNumberFormat="1" applyFont="1" applyAlignment="1">
      <alignment horizontal="center" vertical="center"/>
    </xf>
    <xf numFmtId="0" fontId="16" fillId="0" borderId="29" xfId="0" applyFont="1" applyBorder="1" applyAlignment="1">
      <alignment horizontal="center" vertical="center"/>
    </xf>
    <xf numFmtId="183" fontId="0" fillId="0" borderId="29" xfId="0" applyNumberFormat="1" applyBorder="1" applyAlignment="1">
      <alignment horizontal="center" vertical="center"/>
    </xf>
    <xf numFmtId="0" fontId="8" fillId="3" borderId="6" xfId="0" applyFont="1" applyFill="1" applyBorder="1" applyAlignment="1">
      <alignment horizontal="center" vertical="center"/>
    </xf>
    <xf numFmtId="0" fontId="8" fillId="3" borderId="7" xfId="0" applyFont="1" applyFill="1" applyBorder="1" applyAlignment="1">
      <alignment horizontal="center" vertical="center"/>
    </xf>
    <xf numFmtId="0" fontId="8" fillId="5" borderId="5" xfId="0" applyFont="1" applyFill="1" applyBorder="1" applyAlignment="1">
      <alignment horizontal="center" vertical="center"/>
    </xf>
    <xf numFmtId="0" fontId="0" fillId="5" borderId="4" xfId="0" applyFill="1" applyBorder="1" applyAlignment="1">
      <alignment horizontal="left" vertical="center"/>
    </xf>
    <xf numFmtId="0" fontId="8" fillId="5" borderId="5" xfId="0" applyFont="1" applyFill="1" applyBorder="1" applyAlignment="1">
      <alignment horizontal="center" vertical="center" wrapText="1"/>
    </xf>
    <xf numFmtId="0" fontId="0" fillId="5" borderId="30" xfId="0" applyFill="1" applyBorder="1" applyAlignment="1">
      <alignment horizontal="left" vertical="center"/>
    </xf>
    <xf numFmtId="0" fontId="0" fillId="5" borderId="5" xfId="0" applyFill="1" applyBorder="1" applyAlignment="1">
      <alignment horizontal="center" vertical="center"/>
    </xf>
    <xf numFmtId="0" fontId="5" fillId="5" borderId="31" xfId="0" applyFont="1" applyFill="1" applyBorder="1" applyAlignment="1">
      <alignment horizontal="left" vertical="center"/>
    </xf>
    <xf numFmtId="177" fontId="8" fillId="3" borderId="26" xfId="0" applyNumberFormat="1" applyFont="1" applyFill="1" applyBorder="1" applyAlignment="1">
      <alignment horizontal="center" vertical="center"/>
    </xf>
    <xf numFmtId="0" fontId="5" fillId="5" borderId="6" xfId="0" applyFont="1" applyFill="1" applyBorder="1">
      <alignment vertical="center"/>
    </xf>
    <xf numFmtId="0" fontId="5" fillId="5" borderId="2" xfId="0" applyFont="1" applyFill="1" applyBorder="1">
      <alignment vertical="center"/>
    </xf>
    <xf numFmtId="38" fontId="16" fillId="5" borderId="1" xfId="1" applyFont="1" applyFill="1" applyBorder="1" applyAlignment="1">
      <alignment horizontal="center" vertical="center"/>
    </xf>
    <xf numFmtId="38" fontId="8" fillId="4" borderId="3" xfId="1" applyFont="1" applyFill="1" applyBorder="1" applyAlignment="1">
      <alignment horizontal="center" vertical="center"/>
    </xf>
    <xf numFmtId="38" fontId="8" fillId="4" borderId="1" xfId="1" applyFont="1" applyFill="1" applyBorder="1" applyAlignment="1">
      <alignment horizontal="center" vertical="center"/>
    </xf>
    <xf numFmtId="0" fontId="16" fillId="5" borderId="30" xfId="0" applyFont="1" applyFill="1" applyBorder="1">
      <alignment vertical="center"/>
    </xf>
    <xf numFmtId="0" fontId="8" fillId="5" borderId="30" xfId="0" applyFont="1" applyFill="1" applyBorder="1">
      <alignment vertical="center"/>
    </xf>
    <xf numFmtId="0" fontId="8" fillId="5" borderId="31" xfId="0" applyFont="1" applyFill="1" applyBorder="1">
      <alignment vertical="center"/>
    </xf>
    <xf numFmtId="0" fontId="8" fillId="0" borderId="29" xfId="0" applyFont="1" applyBorder="1">
      <alignment vertical="center"/>
    </xf>
    <xf numFmtId="0" fontId="23" fillId="5" borderId="1" xfId="0" applyFont="1" applyFill="1" applyBorder="1" applyAlignment="1">
      <alignment horizontal="left" vertical="center" wrapText="1"/>
    </xf>
    <xf numFmtId="177" fontId="0" fillId="0" borderId="8" xfId="0" applyNumberFormat="1" applyBorder="1" applyAlignment="1">
      <alignment horizontal="center" vertical="center"/>
    </xf>
    <xf numFmtId="0" fontId="68" fillId="0" borderId="0" xfId="0" applyFont="1">
      <alignment vertical="center"/>
    </xf>
    <xf numFmtId="2" fontId="0" fillId="0" borderId="0" xfId="0" applyNumberFormat="1" applyAlignment="1">
      <alignment horizontal="center" vertical="center"/>
    </xf>
    <xf numFmtId="2" fontId="6" fillId="0" borderId="0" xfId="0" applyNumberFormat="1" applyFont="1" applyAlignment="1">
      <alignment horizontal="center" vertical="center"/>
    </xf>
    <xf numFmtId="2" fontId="5" fillId="0" borderId="0" xfId="0" applyNumberFormat="1" applyFont="1" applyAlignment="1">
      <alignment horizontal="center" vertical="center"/>
    </xf>
    <xf numFmtId="0" fontId="4" fillId="0" borderId="6" xfId="0" applyFont="1" applyBorder="1" applyAlignment="1">
      <alignment horizontal="center" vertical="center"/>
    </xf>
    <xf numFmtId="0" fontId="4" fillId="0" borderId="2" xfId="0" applyFont="1" applyBorder="1" applyAlignment="1">
      <alignment horizontal="center" vertical="center"/>
    </xf>
    <xf numFmtId="0" fontId="67" fillId="13" borderId="38" xfId="0" applyFont="1" applyFill="1" applyBorder="1" applyAlignment="1">
      <alignment horizontal="left" vertical="center" wrapText="1"/>
    </xf>
    <xf numFmtId="0" fontId="67" fillId="13" borderId="39" xfId="0" applyFont="1" applyFill="1" applyBorder="1" applyAlignment="1">
      <alignment horizontal="left" vertical="center" wrapText="1"/>
    </xf>
    <xf numFmtId="0" fontId="67" fillId="13" borderId="44" xfId="0" applyFont="1" applyFill="1" applyBorder="1" applyAlignment="1">
      <alignment horizontal="left" vertical="center" wrapText="1"/>
    </xf>
    <xf numFmtId="0" fontId="0" fillId="5" borderId="6" xfId="0" applyFill="1" applyBorder="1" applyAlignment="1">
      <alignment horizontal="center" vertical="center" wrapText="1"/>
    </xf>
    <xf numFmtId="0" fontId="0" fillId="5" borderId="2" xfId="0" applyFill="1" applyBorder="1" applyAlignment="1">
      <alignment horizontal="center" vertical="center" wrapText="1"/>
    </xf>
    <xf numFmtId="0" fontId="0" fillId="5" borderId="3" xfId="0" applyFill="1" applyBorder="1" applyAlignment="1">
      <alignment horizontal="center" vertical="center" wrapText="1"/>
    </xf>
    <xf numFmtId="0" fontId="0" fillId="5" borderId="27" xfId="0" applyFill="1" applyBorder="1" applyAlignment="1">
      <alignment horizontal="center" vertical="center" wrapText="1"/>
    </xf>
    <xf numFmtId="0" fontId="0" fillId="5" borderId="4" xfId="0" applyFill="1" applyBorder="1" applyAlignment="1">
      <alignment horizontal="center" vertical="center" wrapText="1"/>
    </xf>
    <xf numFmtId="0" fontId="6" fillId="5" borderId="1" xfId="0" applyFont="1" applyFill="1" applyBorder="1" applyAlignment="1">
      <alignment horizontal="center" vertical="center"/>
    </xf>
    <xf numFmtId="0" fontId="0" fillId="3" borderId="6" xfId="0" applyFill="1" applyBorder="1" applyAlignment="1">
      <alignment horizontal="center" vertical="center"/>
    </xf>
    <xf numFmtId="0" fontId="0" fillId="3" borderId="2" xfId="0" applyFill="1" applyBorder="1" applyAlignment="1">
      <alignment horizontal="center" vertical="center"/>
    </xf>
    <xf numFmtId="0" fontId="0" fillId="5" borderId="1" xfId="0" applyFill="1" applyBorder="1" applyAlignment="1">
      <alignment horizontal="center" vertical="center"/>
    </xf>
    <xf numFmtId="0" fontId="0" fillId="5" borderId="10" xfId="0" applyFill="1" applyBorder="1" applyAlignment="1">
      <alignment horizontal="center" vertical="center" wrapText="1"/>
    </xf>
    <xf numFmtId="0" fontId="0" fillId="5" borderId="13" xfId="0" applyFill="1" applyBorder="1" applyAlignment="1">
      <alignment horizontal="center" vertical="center" wrapText="1"/>
    </xf>
    <xf numFmtId="0" fontId="0" fillId="5" borderId="15" xfId="0" applyFill="1" applyBorder="1" applyAlignment="1">
      <alignment horizontal="center" vertical="center" wrapText="1"/>
    </xf>
    <xf numFmtId="0" fontId="0" fillId="5" borderId="1" xfId="0" applyFill="1" applyBorder="1">
      <alignment vertical="center"/>
    </xf>
    <xf numFmtId="0" fontId="0" fillId="4" borderId="11" xfId="0" applyFill="1" applyBorder="1" applyAlignment="1">
      <alignment horizontal="right" vertical="center"/>
    </xf>
    <xf numFmtId="0" fontId="0" fillId="4" borderId="1" xfId="0" applyFill="1" applyBorder="1" applyAlignment="1">
      <alignment horizontal="right" vertical="center"/>
    </xf>
    <xf numFmtId="0" fontId="0" fillId="5" borderId="34" xfId="0" applyFill="1" applyBorder="1">
      <alignment vertical="center"/>
    </xf>
    <xf numFmtId="0" fontId="0" fillId="5" borderId="4" xfId="0" applyFill="1" applyBorder="1">
      <alignment vertical="center"/>
    </xf>
    <xf numFmtId="0" fontId="0" fillId="5" borderId="3" xfId="0" applyFill="1" applyBorder="1">
      <alignment vertical="center"/>
    </xf>
    <xf numFmtId="0" fontId="0" fillId="5" borderId="11" xfId="0" applyFill="1" applyBorder="1">
      <alignment vertical="center"/>
    </xf>
    <xf numFmtId="0" fontId="0" fillId="4" borderId="34" xfId="0" applyFill="1" applyBorder="1" applyAlignment="1">
      <alignment horizontal="right" vertical="center"/>
    </xf>
    <xf numFmtId="0" fontId="0" fillId="4" borderId="4" xfId="0" applyFill="1" applyBorder="1" applyAlignment="1">
      <alignment horizontal="right" vertical="center"/>
    </xf>
    <xf numFmtId="0" fontId="0" fillId="4" borderId="3" xfId="0" applyFill="1" applyBorder="1" applyAlignment="1">
      <alignment horizontal="right" vertical="center"/>
    </xf>
    <xf numFmtId="0" fontId="0" fillId="5" borderId="1" xfId="0" applyFill="1" applyBorder="1" applyAlignment="1">
      <alignment horizontal="center" vertical="center" wrapText="1"/>
    </xf>
    <xf numFmtId="0" fontId="0" fillId="5" borderId="36" xfId="0" applyFill="1" applyBorder="1" applyAlignment="1">
      <alignment horizontal="center" vertical="center" wrapText="1"/>
    </xf>
    <xf numFmtId="0" fontId="0" fillId="5" borderId="18" xfId="0" applyFill="1" applyBorder="1" applyAlignment="1">
      <alignment horizontal="center" vertical="center" wrapText="1"/>
    </xf>
    <xf numFmtId="0" fontId="0" fillId="5" borderId="34" xfId="0" applyFill="1" applyBorder="1" applyAlignment="1">
      <alignment horizontal="center" vertical="center" wrapText="1"/>
    </xf>
    <xf numFmtId="0" fontId="0" fillId="5" borderId="38" xfId="0" applyFill="1" applyBorder="1" applyAlignment="1">
      <alignment horizontal="center" vertical="center"/>
    </xf>
    <xf numFmtId="0" fontId="0" fillId="5" borderId="39" xfId="0" applyFill="1" applyBorder="1" applyAlignment="1">
      <alignment horizontal="center" vertical="center"/>
    </xf>
    <xf numFmtId="0" fontId="0" fillId="5" borderId="40" xfId="0" applyFill="1" applyBorder="1" applyAlignment="1">
      <alignment horizontal="center" vertical="center"/>
    </xf>
    <xf numFmtId="0" fontId="6" fillId="5" borderId="38" xfId="0" applyFont="1" applyFill="1" applyBorder="1" applyAlignment="1">
      <alignment horizontal="center" vertical="center"/>
    </xf>
    <xf numFmtId="0" fontId="6" fillId="5" borderId="39" xfId="0" applyFont="1" applyFill="1" applyBorder="1" applyAlignment="1">
      <alignment horizontal="center" vertical="center"/>
    </xf>
    <xf numFmtId="0" fontId="6" fillId="5" borderId="4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33" xfId="0" applyFill="1" applyBorder="1" applyAlignment="1">
      <alignment horizontal="center" vertical="center" wrapText="1"/>
    </xf>
    <xf numFmtId="0" fontId="0" fillId="5" borderId="37" xfId="0" applyFill="1" applyBorder="1" applyAlignment="1">
      <alignment horizontal="center" vertical="center" wrapText="1"/>
    </xf>
    <xf numFmtId="0" fontId="0" fillId="4" borderId="36" xfId="0" applyFill="1" applyBorder="1" applyAlignment="1">
      <alignment horizontal="right" vertical="center"/>
    </xf>
    <xf numFmtId="0" fontId="0" fillId="5" borderId="3" xfId="0" applyFill="1" applyBorder="1" applyAlignment="1">
      <alignment horizontal="center" vertical="center"/>
    </xf>
    <xf numFmtId="0" fontId="0" fillId="5" borderId="36" xfId="0" applyFill="1" applyBorder="1" applyAlignment="1">
      <alignment horizontal="center" vertical="center"/>
    </xf>
    <xf numFmtId="0" fontId="0" fillId="5" borderId="4" xfId="0" applyFill="1" applyBorder="1" applyAlignment="1">
      <alignment horizontal="center" vertical="center"/>
    </xf>
    <xf numFmtId="0" fontId="0" fillId="3" borderId="7" xfId="0" applyFill="1" applyBorder="1" applyAlignment="1">
      <alignment horizontal="center" vertical="center"/>
    </xf>
    <xf numFmtId="0" fontId="8" fillId="5" borderId="6"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2" xfId="0" applyFont="1" applyFill="1" applyBorder="1" applyAlignment="1">
      <alignment horizontal="center" vertical="center"/>
    </xf>
    <xf numFmtId="0" fontId="13" fillId="5" borderId="1" xfId="0" applyFont="1" applyFill="1" applyBorder="1" applyAlignment="1">
      <alignment horizontal="center" vertical="center"/>
    </xf>
    <xf numFmtId="0" fontId="6" fillId="5" borderId="6" xfId="0" applyFont="1" applyFill="1" applyBorder="1" applyAlignment="1">
      <alignment horizontal="center" vertical="center"/>
    </xf>
    <xf numFmtId="0" fontId="6" fillId="5" borderId="2" xfId="0" applyFont="1" applyFill="1" applyBorder="1" applyAlignment="1">
      <alignment horizontal="center" vertical="center"/>
    </xf>
    <xf numFmtId="0" fontId="6" fillId="5" borderId="8"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28" xfId="0" applyFont="1" applyFill="1" applyBorder="1" applyAlignment="1">
      <alignment horizontal="center" vertical="center"/>
    </xf>
    <xf numFmtId="0" fontId="6" fillId="5" borderId="29" xfId="0" applyFont="1" applyFill="1" applyBorder="1" applyAlignment="1">
      <alignment horizontal="center" vertical="center"/>
    </xf>
    <xf numFmtId="0" fontId="6" fillId="5" borderId="30" xfId="0" applyFont="1" applyFill="1" applyBorder="1" applyAlignment="1">
      <alignment horizontal="center" vertical="center"/>
    </xf>
    <xf numFmtId="0" fontId="8" fillId="5" borderId="1" xfId="0" applyFont="1" applyFill="1" applyBorder="1" applyAlignment="1">
      <alignment horizontal="center" vertical="center"/>
    </xf>
    <xf numFmtId="0" fontId="4" fillId="5" borderId="1" xfId="0" applyFont="1" applyFill="1" applyBorder="1" applyAlignment="1">
      <alignment horizontal="center" vertical="center"/>
    </xf>
    <xf numFmtId="2" fontId="0" fillId="3" borderId="1" xfId="0" applyNumberFormat="1" applyFill="1" applyBorder="1" applyAlignment="1">
      <alignment horizontal="center" vertical="center"/>
    </xf>
    <xf numFmtId="38" fontId="0" fillId="3" borderId="1" xfId="1" applyFont="1" applyFill="1" applyBorder="1" applyAlignment="1">
      <alignment horizontal="center" vertical="center"/>
    </xf>
    <xf numFmtId="0" fontId="4" fillId="3" borderId="1" xfId="0" applyFont="1" applyFill="1"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wrapText="1"/>
    </xf>
    <xf numFmtId="0" fontId="0" fillId="0" borderId="4" xfId="0" applyBorder="1" applyAlignment="1">
      <alignment horizontal="center" vertical="center"/>
    </xf>
    <xf numFmtId="0" fontId="0" fillId="0" borderId="3" xfId="0" applyBorder="1" applyAlignment="1">
      <alignment horizontal="center" vertical="center"/>
    </xf>
    <xf numFmtId="0" fontId="0" fillId="6" borderId="3" xfId="0" applyFill="1" applyBorder="1" applyAlignment="1">
      <alignment horizontal="center" vertical="center" wrapText="1"/>
    </xf>
    <xf numFmtId="0" fontId="0" fillId="6" borderId="4" xfId="0" applyFill="1" applyBorder="1" applyAlignment="1">
      <alignment horizontal="center" vertical="center"/>
    </xf>
    <xf numFmtId="0" fontId="0" fillId="0" borderId="1" xfId="0" applyBorder="1" applyAlignment="1">
      <alignment horizontal="center" vertical="center"/>
    </xf>
    <xf numFmtId="0" fontId="0" fillId="0" borderId="4" xfId="0" applyBorder="1" applyAlignment="1">
      <alignment horizontal="center" vertical="center" wrapText="1"/>
    </xf>
    <xf numFmtId="0" fontId="0" fillId="6" borderId="4" xfId="0" applyFill="1" applyBorder="1" applyAlignment="1">
      <alignment horizontal="center" vertical="center" wrapText="1"/>
    </xf>
    <xf numFmtId="176" fontId="6" fillId="0" borderId="1" xfId="0" applyNumberFormat="1" applyFont="1" applyBorder="1" applyAlignment="1">
      <alignment horizontal="center" vertical="center" wrapText="1"/>
    </xf>
    <xf numFmtId="176" fontId="0" fillId="0" borderId="1" xfId="0" applyNumberFormat="1" applyBorder="1" applyAlignment="1">
      <alignment horizontal="center" vertical="center" wrapText="1"/>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2" xfId="0" applyFont="1" applyBorder="1" applyAlignment="1">
      <alignment horizontal="center" vertical="center"/>
    </xf>
    <xf numFmtId="0" fontId="0" fillId="0" borderId="1" xfId="0" applyBorder="1" applyAlignment="1">
      <alignment horizontal="left" vertical="center"/>
    </xf>
    <xf numFmtId="0" fontId="4" fillId="0" borderId="1" xfId="0" applyFont="1" applyBorder="1" applyAlignment="1">
      <alignment horizontal="left" vertical="center"/>
    </xf>
    <xf numFmtId="0" fontId="0" fillId="0" borderId="6" xfId="0" applyBorder="1" applyAlignment="1">
      <alignment horizontal="left" vertical="center"/>
    </xf>
    <xf numFmtId="0" fontId="0" fillId="0" borderId="7" xfId="0" applyBorder="1" applyAlignment="1">
      <alignment horizontal="left" vertical="center"/>
    </xf>
    <xf numFmtId="0" fontId="0" fillId="0" borderId="2" xfId="0" applyBorder="1" applyAlignment="1">
      <alignment horizontal="left" vertical="center"/>
    </xf>
    <xf numFmtId="0" fontId="5" fillId="0" borderId="1" xfId="0" applyFont="1" applyBorder="1" applyAlignment="1">
      <alignment horizontal="center" vertical="center"/>
    </xf>
    <xf numFmtId="0" fontId="6" fillId="0" borderId="8" xfId="0" applyFont="1" applyBorder="1" applyAlignment="1">
      <alignment horizontal="center" vertical="center" wrapText="1"/>
    </xf>
    <xf numFmtId="181" fontId="4" fillId="3" borderId="1" xfId="0" applyNumberFormat="1" applyFont="1" applyFill="1" applyBorder="1" applyAlignment="1">
      <alignment horizontal="center" vertical="center"/>
    </xf>
    <xf numFmtId="0" fontId="0" fillId="0" borderId="1" xfId="0" applyBorder="1" applyAlignment="1">
      <alignment horizontal="center" vertical="center" wrapText="1"/>
    </xf>
    <xf numFmtId="0" fontId="0" fillId="9" borderId="1" xfId="0" applyFill="1" applyBorder="1" applyAlignment="1">
      <alignment horizontal="center" vertical="center"/>
    </xf>
    <xf numFmtId="0" fontId="0" fillId="5" borderId="6" xfId="0" applyFill="1" applyBorder="1" applyAlignment="1">
      <alignment horizontal="left" vertical="center"/>
    </xf>
    <xf numFmtId="0" fontId="0" fillId="5" borderId="2" xfId="0" applyFill="1" applyBorder="1" applyAlignment="1">
      <alignment horizontal="left" vertical="center"/>
    </xf>
    <xf numFmtId="0" fontId="6" fillId="0" borderId="0" xfId="0" applyFont="1" applyAlignment="1">
      <alignment horizontal="center" vertical="center"/>
    </xf>
    <xf numFmtId="3" fontId="0" fillId="0" borderId="10" xfId="0" applyNumberFormat="1" applyBorder="1" applyAlignment="1">
      <alignment horizontal="center" vertical="center"/>
    </xf>
    <xf numFmtId="3" fontId="0" fillId="0" borderId="13" xfId="0" applyNumberFormat="1"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3" fontId="0" fillId="0" borderId="15" xfId="0" applyNumberFormat="1" applyBorder="1" applyAlignment="1">
      <alignment horizontal="center" vertical="center"/>
    </xf>
    <xf numFmtId="0" fontId="6" fillId="0" borderId="25" xfId="0" applyFont="1" applyBorder="1" applyAlignment="1">
      <alignment horizontal="center" vertical="center"/>
    </xf>
    <xf numFmtId="0" fontId="0" fillId="5" borderId="6" xfId="0" applyFill="1" applyBorder="1" applyAlignment="1">
      <alignment horizontal="center" vertical="center"/>
    </xf>
    <xf numFmtId="0" fontId="0" fillId="5" borderId="2" xfId="0" applyFill="1" applyBorder="1" applyAlignment="1">
      <alignment horizontal="center" vertical="center"/>
    </xf>
    <xf numFmtId="0" fontId="6" fillId="0" borderId="8" xfId="0" applyFont="1" applyBorder="1" applyAlignment="1">
      <alignment horizontal="center" vertical="center"/>
    </xf>
    <xf numFmtId="0" fontId="29" fillId="12" borderId="3" xfId="4" applyFill="1" applyBorder="1" applyAlignment="1">
      <alignment horizontal="center" vertical="center"/>
    </xf>
    <xf numFmtId="0" fontId="29" fillId="12" borderId="4" xfId="4" applyFill="1" applyBorder="1" applyAlignment="1">
      <alignment horizontal="center" vertical="center"/>
    </xf>
    <xf numFmtId="0" fontId="29" fillId="12" borderId="1" xfId="4" applyFill="1" applyBorder="1" applyAlignment="1">
      <alignment horizontal="center" vertical="center"/>
    </xf>
    <xf numFmtId="0" fontId="8" fillId="5" borderId="3" xfId="0" applyFont="1" applyFill="1" applyBorder="1" applyAlignment="1">
      <alignment horizontal="center" vertical="center" wrapText="1"/>
    </xf>
    <xf numFmtId="0" fontId="8" fillId="5" borderId="27"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0" fillId="5" borderId="28" xfId="0" applyFill="1" applyBorder="1" applyAlignment="1">
      <alignment horizontal="center" vertical="center" wrapText="1"/>
    </xf>
    <xf numFmtId="0" fontId="0" fillId="5" borderId="30" xfId="0" applyFill="1" applyBorder="1" applyAlignment="1">
      <alignment horizontal="center" vertical="center" wrapText="1"/>
    </xf>
    <xf numFmtId="0" fontId="0" fillId="5" borderId="26" xfId="0" applyFill="1" applyBorder="1" applyAlignment="1">
      <alignment horizontal="center" vertical="center" wrapText="1"/>
    </xf>
    <xf numFmtId="0" fontId="0" fillId="5" borderId="31" xfId="0" applyFill="1" applyBorder="1" applyAlignment="1">
      <alignment horizontal="center" vertical="center" wrapText="1"/>
    </xf>
    <xf numFmtId="0" fontId="0" fillId="5" borderId="32" xfId="0" applyFill="1" applyBorder="1" applyAlignment="1">
      <alignment horizontal="center" vertical="center" wrapText="1"/>
    </xf>
    <xf numFmtId="0" fontId="0" fillId="5" borderId="5" xfId="0" applyFill="1" applyBorder="1" applyAlignment="1">
      <alignment horizontal="center" vertical="center" wrapText="1"/>
    </xf>
    <xf numFmtId="38" fontId="8" fillId="3" borderId="3" xfId="1" applyFont="1" applyFill="1" applyBorder="1" applyAlignment="1">
      <alignment horizontal="center" vertical="center"/>
    </xf>
    <xf numFmtId="38" fontId="8" fillId="3" borderId="27" xfId="1" applyFont="1" applyFill="1" applyBorder="1" applyAlignment="1">
      <alignment horizontal="center" vertical="center"/>
    </xf>
    <xf numFmtId="38" fontId="8" fillId="3" borderId="4" xfId="1" applyFont="1" applyFill="1" applyBorder="1" applyAlignment="1">
      <alignment horizontal="center" vertical="center"/>
    </xf>
    <xf numFmtId="0" fontId="23" fillId="5" borderId="3" xfId="0" applyFont="1" applyFill="1" applyBorder="1" applyAlignment="1">
      <alignment horizontal="left" vertical="center"/>
    </xf>
    <xf numFmtId="0" fontId="23" fillId="5" borderId="27" xfId="0" applyFont="1" applyFill="1" applyBorder="1" applyAlignment="1">
      <alignment horizontal="left" vertical="center"/>
    </xf>
    <xf numFmtId="0" fontId="23" fillId="5" borderId="4" xfId="0" applyFont="1" applyFill="1" applyBorder="1" applyAlignment="1">
      <alignment horizontal="left" vertical="center"/>
    </xf>
    <xf numFmtId="0" fontId="16" fillId="5" borderId="28" xfId="0" applyFont="1" applyFill="1" applyBorder="1" applyAlignment="1">
      <alignment horizontal="center" vertical="center"/>
    </xf>
    <xf numFmtId="0" fontId="16" fillId="5" borderId="30" xfId="0" applyFont="1" applyFill="1" applyBorder="1" applyAlignment="1">
      <alignment horizontal="center" vertical="center"/>
    </xf>
    <xf numFmtId="0" fontId="16" fillId="5" borderId="26" xfId="0" applyFont="1" applyFill="1" applyBorder="1" applyAlignment="1">
      <alignment horizontal="center" vertical="center"/>
    </xf>
    <xf numFmtId="0" fontId="16" fillId="5" borderId="31" xfId="0" applyFont="1" applyFill="1" applyBorder="1" applyAlignment="1">
      <alignment horizontal="center" vertical="center"/>
    </xf>
    <xf numFmtId="0" fontId="8" fillId="5" borderId="28" xfId="0" applyFont="1" applyFill="1" applyBorder="1" applyAlignment="1">
      <alignment horizontal="center" vertical="center"/>
    </xf>
    <xf numFmtId="0" fontId="8" fillId="5" borderId="30" xfId="0" applyFont="1" applyFill="1" applyBorder="1" applyAlignment="1">
      <alignment horizontal="center" vertical="center"/>
    </xf>
    <xf numFmtId="0" fontId="8" fillId="5" borderId="26" xfId="0" applyFont="1" applyFill="1" applyBorder="1" applyAlignment="1">
      <alignment horizontal="center" vertical="center"/>
    </xf>
    <xf numFmtId="0" fontId="8" fillId="5" borderId="31" xfId="0" applyFont="1" applyFill="1" applyBorder="1" applyAlignment="1">
      <alignment horizontal="center" vertical="center"/>
    </xf>
    <xf numFmtId="0" fontId="8" fillId="5" borderId="32" xfId="0" applyFont="1" applyFill="1" applyBorder="1" applyAlignment="1">
      <alignment horizontal="center" vertical="center"/>
    </xf>
    <xf numFmtId="0" fontId="8" fillId="5" borderId="5" xfId="0" applyFont="1" applyFill="1" applyBorder="1" applyAlignment="1">
      <alignment horizontal="center" vertical="center"/>
    </xf>
    <xf numFmtId="0" fontId="24" fillId="5" borderId="6" xfId="0" applyFont="1" applyFill="1" applyBorder="1" applyAlignment="1">
      <alignment horizontal="center" vertical="center"/>
    </xf>
    <xf numFmtId="0" fontId="25" fillId="5" borderId="7" xfId="0" applyFont="1" applyFill="1" applyBorder="1" applyAlignment="1">
      <alignment horizontal="center" vertical="center"/>
    </xf>
    <xf numFmtId="0" fontId="0" fillId="12" borderId="1" xfId="0" applyFill="1" applyBorder="1" applyAlignment="1">
      <alignment horizontal="center" vertical="center"/>
    </xf>
    <xf numFmtId="0" fontId="5" fillId="5" borderId="6" xfId="0" applyFont="1" applyFill="1" applyBorder="1" applyAlignment="1">
      <alignment horizontal="center" vertical="center"/>
    </xf>
    <xf numFmtId="0" fontId="5" fillId="5" borderId="2" xfId="0" applyFont="1" applyFill="1" applyBorder="1" applyAlignment="1">
      <alignment horizontal="center" vertical="center"/>
    </xf>
    <xf numFmtId="0" fontId="27" fillId="5" borderId="6" xfId="0" applyFont="1" applyFill="1" applyBorder="1" applyAlignment="1">
      <alignment horizontal="center" vertical="center"/>
    </xf>
    <xf numFmtId="0" fontId="27" fillId="5" borderId="7" xfId="0" applyFont="1" applyFill="1" applyBorder="1" applyAlignment="1">
      <alignment horizontal="center" vertical="center"/>
    </xf>
    <xf numFmtId="0" fontId="5" fillId="5" borderId="28" xfId="0" applyFont="1" applyFill="1" applyBorder="1" applyAlignment="1">
      <alignment horizontal="center" vertical="center"/>
    </xf>
    <xf numFmtId="0" fontId="5" fillId="5" borderId="30" xfId="0" applyFont="1" applyFill="1" applyBorder="1" applyAlignment="1">
      <alignment horizontal="center" vertical="center"/>
    </xf>
    <xf numFmtId="0" fontId="5" fillId="5" borderId="32" xfId="0" applyFont="1" applyFill="1" applyBorder="1" applyAlignment="1">
      <alignment horizontal="center" vertical="center"/>
    </xf>
    <xf numFmtId="0" fontId="5" fillId="5" borderId="5" xfId="0" applyFont="1" applyFill="1" applyBorder="1" applyAlignment="1">
      <alignment horizontal="center" vertical="center"/>
    </xf>
    <xf numFmtId="0" fontId="8" fillId="5" borderId="28" xfId="0" applyFont="1" applyFill="1" applyBorder="1" applyAlignment="1">
      <alignment horizontal="left" vertical="center"/>
    </xf>
    <xf numFmtId="0" fontId="8" fillId="5" borderId="30" xfId="0" applyFont="1" applyFill="1" applyBorder="1" applyAlignment="1">
      <alignment horizontal="left" vertical="center"/>
    </xf>
    <xf numFmtId="0" fontId="8" fillId="5" borderId="26" xfId="0" applyFont="1" applyFill="1" applyBorder="1" applyAlignment="1">
      <alignment horizontal="left" vertical="center"/>
    </xf>
    <xf numFmtId="0" fontId="8" fillId="5" borderId="31" xfId="0" applyFont="1" applyFill="1" applyBorder="1" applyAlignment="1">
      <alignment horizontal="left" vertical="center"/>
    </xf>
    <xf numFmtId="0" fontId="8" fillId="5" borderId="32" xfId="0" applyFont="1" applyFill="1" applyBorder="1" applyAlignment="1">
      <alignment horizontal="left" vertical="center"/>
    </xf>
    <xf numFmtId="0" fontId="8" fillId="5" borderId="5" xfId="0" applyFont="1" applyFill="1" applyBorder="1" applyAlignment="1">
      <alignment horizontal="left" vertical="center"/>
    </xf>
    <xf numFmtId="0" fontId="8" fillId="5" borderId="3" xfId="0" applyFont="1" applyFill="1" applyBorder="1" applyAlignment="1">
      <alignment horizontal="left" vertical="center"/>
    </xf>
    <xf numFmtId="0" fontId="8" fillId="5" borderId="27" xfId="0" applyFont="1" applyFill="1" applyBorder="1" applyAlignment="1">
      <alignment horizontal="left" vertical="center"/>
    </xf>
    <xf numFmtId="0" fontId="8" fillId="5" borderId="4" xfId="0" applyFont="1" applyFill="1" applyBorder="1" applyAlignment="1">
      <alignment horizontal="left" vertical="center"/>
    </xf>
    <xf numFmtId="0" fontId="8" fillId="5" borderId="3" xfId="0" applyFont="1" applyFill="1" applyBorder="1" applyAlignment="1">
      <alignment horizontal="center" vertical="center"/>
    </xf>
    <xf numFmtId="0" fontId="8" fillId="5" borderId="4" xfId="0" applyFont="1" applyFill="1" applyBorder="1" applyAlignment="1">
      <alignment horizontal="center" vertical="center"/>
    </xf>
    <xf numFmtId="0" fontId="0" fillId="12" borderId="3" xfId="0" applyFill="1" applyBorder="1" applyAlignment="1">
      <alignment horizontal="center" vertical="center"/>
    </xf>
    <xf numFmtId="0" fontId="0" fillId="12" borderId="4" xfId="0" applyFill="1" applyBorder="1" applyAlignment="1">
      <alignment horizontal="center" vertical="center"/>
    </xf>
    <xf numFmtId="0" fontId="26" fillId="5" borderId="3" xfId="0" applyFont="1" applyFill="1" applyBorder="1" applyAlignment="1">
      <alignment horizontal="center" vertical="center"/>
    </xf>
    <xf numFmtId="0" fontId="26" fillId="5" borderId="4" xfId="0" applyFont="1" applyFill="1" applyBorder="1" applyAlignment="1">
      <alignment horizontal="center" vertical="center"/>
    </xf>
    <xf numFmtId="0" fontId="0" fillId="3" borderId="30" xfId="0" applyFill="1" applyBorder="1" applyAlignment="1">
      <alignment horizontal="center" vertical="center"/>
    </xf>
    <xf numFmtId="0" fontId="0" fillId="3" borderId="5" xfId="0" applyFill="1" applyBorder="1" applyAlignment="1">
      <alignment horizontal="center" vertical="center"/>
    </xf>
    <xf numFmtId="0" fontId="24" fillId="9" borderId="6" xfId="0" applyFont="1" applyFill="1" applyBorder="1" applyAlignment="1">
      <alignment horizontal="center" vertical="center"/>
    </xf>
    <xf numFmtId="0" fontId="25" fillId="9" borderId="7" xfId="0" applyFont="1" applyFill="1" applyBorder="1" applyAlignment="1">
      <alignment horizontal="center" vertical="center"/>
    </xf>
    <xf numFmtId="0" fontId="25" fillId="9" borderId="2" xfId="0" applyFont="1" applyFill="1" applyBorder="1" applyAlignment="1">
      <alignment horizontal="center" vertical="center"/>
    </xf>
    <xf numFmtId="0" fontId="16" fillId="5" borderId="28" xfId="0" applyFont="1" applyFill="1" applyBorder="1" applyAlignment="1">
      <alignment horizontal="left" vertical="center"/>
    </xf>
    <xf numFmtId="0" fontId="16" fillId="5" borderId="26" xfId="0" applyFont="1" applyFill="1" applyBorder="1" applyAlignment="1">
      <alignment horizontal="left" vertical="center"/>
    </xf>
    <xf numFmtId="0" fontId="8" fillId="5" borderId="0" xfId="0" applyFont="1" applyFill="1" applyAlignment="1">
      <alignment horizontal="left" vertical="center"/>
    </xf>
    <xf numFmtId="0" fontId="8" fillId="5" borderId="29" xfId="0" applyFont="1" applyFill="1" applyBorder="1" applyAlignment="1">
      <alignment horizontal="center" vertical="center"/>
    </xf>
    <xf numFmtId="0" fontId="8" fillId="5" borderId="8" xfId="0" applyFont="1" applyFill="1" applyBorder="1" applyAlignment="1">
      <alignment horizontal="center" vertical="center"/>
    </xf>
    <xf numFmtId="0" fontId="8" fillId="0" borderId="1" xfId="0" applyFont="1" applyBorder="1" applyAlignment="1">
      <alignment horizontal="center" vertical="center"/>
    </xf>
    <xf numFmtId="0" fontId="0" fillId="0" borderId="3" xfId="0" applyBorder="1" applyAlignment="1">
      <alignment horizontal="left" vertical="top"/>
    </xf>
    <xf numFmtId="0" fontId="0" fillId="0" borderId="4" xfId="0" applyBorder="1" applyAlignment="1">
      <alignment horizontal="left" vertical="top"/>
    </xf>
    <xf numFmtId="0" fontId="5" fillId="0" borderId="28" xfId="0" applyFont="1" applyBorder="1" applyAlignment="1">
      <alignment horizontal="center" vertical="center" wrapText="1"/>
    </xf>
    <xf numFmtId="0" fontId="5" fillId="0" borderId="30"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5" xfId="0" applyFont="1" applyBorder="1" applyAlignment="1">
      <alignment horizontal="center" vertical="center" wrapText="1"/>
    </xf>
    <xf numFmtId="38" fontId="8" fillId="0" borderId="3" xfId="1" applyFont="1" applyFill="1" applyBorder="1" applyAlignment="1">
      <alignment horizontal="center" vertical="center"/>
    </xf>
    <xf numFmtId="38" fontId="8" fillId="0" borderId="4" xfId="1" applyFont="1" applyFill="1" applyBorder="1" applyAlignment="1">
      <alignment horizontal="center" vertical="center"/>
    </xf>
    <xf numFmtId="0" fontId="0" fillId="0" borderId="3" xfId="0" applyBorder="1" applyAlignment="1">
      <alignment horizontal="left" vertical="center"/>
    </xf>
    <xf numFmtId="0" fontId="0" fillId="0" borderId="4" xfId="0" applyBorder="1" applyAlignment="1">
      <alignment horizontal="left" vertical="center"/>
    </xf>
    <xf numFmtId="0" fontId="0" fillId="9" borderId="26" xfId="0" applyFill="1" applyBorder="1" applyAlignment="1">
      <alignment horizontal="center" vertical="center"/>
    </xf>
    <xf numFmtId="0" fontId="0" fillId="9" borderId="31" xfId="0" applyFill="1" applyBorder="1" applyAlignment="1">
      <alignment horizontal="center" vertical="center"/>
    </xf>
    <xf numFmtId="0" fontId="0" fillId="9" borderId="32" xfId="0" applyFill="1" applyBorder="1" applyAlignment="1">
      <alignment horizontal="center" vertical="center"/>
    </xf>
    <xf numFmtId="0" fontId="0" fillId="9" borderId="5" xfId="0" applyFill="1" applyBorder="1" applyAlignment="1">
      <alignment horizontal="center" vertical="center"/>
    </xf>
    <xf numFmtId="0" fontId="0" fillId="0" borderId="28" xfId="0" applyBorder="1" applyAlignment="1">
      <alignment horizontal="center" vertical="center"/>
    </xf>
    <xf numFmtId="0" fontId="0" fillId="0" borderId="30" xfId="0" applyBorder="1" applyAlignment="1">
      <alignment horizontal="center" vertical="center"/>
    </xf>
    <xf numFmtId="0" fontId="0" fillId="0" borderId="32" xfId="0" applyBorder="1" applyAlignment="1">
      <alignment horizontal="center" vertical="center"/>
    </xf>
    <xf numFmtId="0" fontId="0" fillId="0" borderId="5" xfId="0" applyBorder="1" applyAlignment="1">
      <alignment horizontal="center" vertical="center"/>
    </xf>
    <xf numFmtId="0" fontId="5" fillId="0" borderId="6" xfId="0" applyFont="1" applyBorder="1" applyAlignment="1">
      <alignment horizontal="center" vertical="center" wrapText="1"/>
    </xf>
    <xf numFmtId="0" fontId="5" fillId="0" borderId="2" xfId="0" applyFont="1" applyBorder="1" applyAlignment="1">
      <alignment horizontal="center" vertical="center" wrapText="1"/>
    </xf>
    <xf numFmtId="0" fontId="0" fillId="0" borderId="28" xfId="0" applyBorder="1" applyAlignment="1">
      <alignment horizontal="center" vertical="center" wrapText="1"/>
    </xf>
    <xf numFmtId="0" fontId="0" fillId="0" borderId="30" xfId="0" applyBorder="1" applyAlignment="1">
      <alignment horizontal="center" vertical="center" wrapText="1"/>
    </xf>
    <xf numFmtId="0" fontId="0" fillId="0" borderId="32" xfId="0" applyBorder="1" applyAlignment="1">
      <alignment horizontal="center" vertical="center" wrapText="1"/>
    </xf>
    <xf numFmtId="0" fontId="0" fillId="0" borderId="5" xfId="0" applyBorder="1" applyAlignment="1">
      <alignment horizontal="center" vertical="center" wrapText="1"/>
    </xf>
    <xf numFmtId="0" fontId="8" fillId="0" borderId="6" xfId="0" applyFont="1" applyBorder="1" applyAlignment="1">
      <alignment horizontal="center" vertical="center"/>
    </xf>
    <xf numFmtId="0" fontId="8" fillId="0" borderId="2" xfId="0" applyFont="1" applyBorder="1" applyAlignment="1">
      <alignment horizontal="center" vertical="center"/>
    </xf>
    <xf numFmtId="0" fontId="8" fillId="0" borderId="6" xfId="0" applyFont="1" applyBorder="1" applyAlignment="1">
      <alignment horizontal="center" vertical="center" wrapText="1"/>
    </xf>
    <xf numFmtId="0" fontId="8" fillId="0" borderId="2" xfId="0" applyFont="1" applyBorder="1" applyAlignment="1">
      <alignment horizontal="center" vertical="center" wrapText="1"/>
    </xf>
    <xf numFmtId="0" fontId="0" fillId="0" borderId="3" xfId="0" applyBorder="1" applyAlignment="1">
      <alignment horizontal="left" vertical="center" wrapText="1"/>
    </xf>
    <xf numFmtId="0" fontId="0" fillId="0" borderId="4" xfId="0" applyBorder="1" applyAlignment="1">
      <alignment horizontal="left" vertical="center" wrapText="1"/>
    </xf>
    <xf numFmtId="0" fontId="0" fillId="0" borderId="27" xfId="0" applyBorder="1" applyAlignment="1">
      <alignment horizontal="left" vertical="center"/>
    </xf>
    <xf numFmtId="0" fontId="5" fillId="0" borderId="6" xfId="0" applyFont="1" applyBorder="1" applyAlignment="1">
      <alignment horizontal="center" vertical="center"/>
    </xf>
    <xf numFmtId="0" fontId="5" fillId="0" borderId="2" xfId="0" applyFont="1" applyBorder="1" applyAlignment="1">
      <alignment horizontal="center" vertical="center"/>
    </xf>
    <xf numFmtId="38" fontId="0" fillId="0" borderId="3" xfId="1" applyFont="1" applyFill="1" applyBorder="1" applyAlignment="1">
      <alignment horizontal="center" vertical="center"/>
    </xf>
    <xf numFmtId="38" fontId="0" fillId="0" borderId="4" xfId="1" applyFont="1" applyFill="1" applyBorder="1" applyAlignment="1">
      <alignment horizontal="center" vertical="center"/>
    </xf>
    <xf numFmtId="0" fontId="0" fillId="0" borderId="0" xfId="0" applyAlignment="1">
      <alignment horizontal="center" vertical="center" wrapText="1"/>
    </xf>
    <xf numFmtId="0" fontId="16" fillId="0" borderId="6" xfId="0" applyFont="1" applyBorder="1" applyAlignment="1">
      <alignment horizontal="center" vertical="center"/>
    </xf>
    <xf numFmtId="0" fontId="0" fillId="0" borderId="0" xfId="0" applyAlignment="1">
      <alignment horizontal="center" vertical="center"/>
    </xf>
    <xf numFmtId="38" fontId="16" fillId="0" borderId="3" xfId="1" applyFont="1" applyFill="1" applyBorder="1" applyAlignment="1">
      <alignment horizontal="center" vertical="center"/>
    </xf>
    <xf numFmtId="38" fontId="16" fillId="0" borderId="4" xfId="1" applyFont="1" applyFill="1" applyBorder="1" applyAlignment="1">
      <alignment horizontal="center" vertical="center"/>
    </xf>
    <xf numFmtId="0" fontId="16" fillId="5" borderId="6" xfId="0" applyFont="1" applyFill="1" applyBorder="1" applyAlignment="1">
      <alignment horizontal="center" vertical="center"/>
    </xf>
    <xf numFmtId="0" fontId="16" fillId="5" borderId="2" xfId="0" applyFont="1" applyFill="1" applyBorder="1" applyAlignment="1">
      <alignment horizontal="center" vertical="center"/>
    </xf>
    <xf numFmtId="0" fontId="34" fillId="0" borderId="0" xfId="0" applyFont="1" applyAlignment="1">
      <alignment horizontal="left" vertical="center" wrapText="1"/>
    </xf>
    <xf numFmtId="0" fontId="0" fillId="5" borderId="27" xfId="0" applyFill="1" applyBorder="1">
      <alignment vertical="center"/>
    </xf>
    <xf numFmtId="0" fontId="8" fillId="5" borderId="3" xfId="0" applyFont="1" applyFill="1" applyBorder="1">
      <alignment vertical="center"/>
    </xf>
    <xf numFmtId="0" fontId="8" fillId="5" borderId="27" xfId="0" applyFont="1" applyFill="1" applyBorder="1">
      <alignment vertical="center"/>
    </xf>
    <xf numFmtId="0" fontId="8" fillId="5" borderId="4" xfId="0" applyFont="1" applyFill="1" applyBorder="1">
      <alignment vertical="center"/>
    </xf>
    <xf numFmtId="0" fontId="0" fillId="5" borderId="27" xfId="0" applyFill="1" applyBorder="1" applyAlignment="1">
      <alignment horizontal="center" vertical="center"/>
    </xf>
    <xf numFmtId="0" fontId="0" fillId="5" borderId="28" xfId="0" applyFill="1" applyBorder="1" applyAlignment="1">
      <alignment horizontal="center" vertical="center"/>
    </xf>
    <xf numFmtId="0" fontId="0" fillId="5" borderId="30" xfId="0" applyFill="1" applyBorder="1" applyAlignment="1">
      <alignment horizontal="center" vertical="center"/>
    </xf>
    <xf numFmtId="0" fontId="0" fillId="5" borderId="32" xfId="0" applyFill="1" applyBorder="1" applyAlignment="1">
      <alignment horizontal="center" vertical="center"/>
    </xf>
    <xf numFmtId="0" fontId="0" fillId="5" borderId="5" xfId="0" applyFill="1" applyBorder="1" applyAlignment="1">
      <alignment horizontal="center" vertical="center"/>
    </xf>
    <xf numFmtId="178" fontId="8" fillId="3" borderId="3" xfId="0" applyNumberFormat="1" applyFont="1" applyFill="1" applyBorder="1" applyAlignment="1">
      <alignment horizontal="center" vertical="center"/>
    </xf>
    <xf numFmtId="178" fontId="8" fillId="3" borderId="4" xfId="0" applyNumberFormat="1" applyFont="1" applyFill="1" applyBorder="1" applyAlignment="1">
      <alignment horizontal="center" vertical="center"/>
    </xf>
    <xf numFmtId="0" fontId="0" fillId="5" borderId="3" xfId="0" applyFill="1" applyBorder="1" applyAlignment="1">
      <alignment horizontal="left" vertical="center"/>
    </xf>
    <xf numFmtId="0" fontId="0" fillId="5" borderId="27" xfId="0" applyFill="1" applyBorder="1" applyAlignment="1">
      <alignment horizontal="left" vertical="center"/>
    </xf>
    <xf numFmtId="0" fontId="0" fillId="5" borderId="4" xfId="0" applyFill="1" applyBorder="1" applyAlignment="1">
      <alignment horizontal="left" vertical="center"/>
    </xf>
    <xf numFmtId="0" fontId="0" fillId="5" borderId="28" xfId="0" applyFill="1" applyBorder="1" applyAlignment="1">
      <alignment horizontal="center" vertical="center" shrinkToFit="1"/>
    </xf>
    <xf numFmtId="0" fontId="0" fillId="5" borderId="30" xfId="0" applyFill="1" applyBorder="1" applyAlignment="1">
      <alignment horizontal="center" vertical="center" shrinkToFit="1"/>
    </xf>
    <xf numFmtId="0" fontId="5" fillId="5" borderId="30" xfId="0" applyFont="1" applyFill="1" applyBorder="1" applyAlignment="1">
      <alignment horizontal="center" vertical="center" wrapText="1"/>
    </xf>
    <xf numFmtId="0" fontId="5" fillId="5" borderId="32" xfId="0" applyFont="1" applyFill="1" applyBorder="1" applyAlignment="1">
      <alignment horizontal="center" vertical="center" wrapText="1"/>
    </xf>
    <xf numFmtId="0" fontId="5" fillId="5" borderId="5" xfId="0" applyFont="1" applyFill="1" applyBorder="1" applyAlignment="1">
      <alignment horizontal="center" vertical="center" wrapText="1"/>
    </xf>
    <xf numFmtId="177" fontId="8" fillId="3" borderId="3" xfId="0" applyNumberFormat="1" applyFont="1" applyFill="1" applyBorder="1" applyAlignment="1">
      <alignment horizontal="center" vertical="center"/>
    </xf>
    <xf numFmtId="0" fontId="0" fillId="3" borderId="4" xfId="0" applyFill="1" applyBorder="1" applyAlignment="1">
      <alignment horizontal="center" vertical="center"/>
    </xf>
    <xf numFmtId="0" fontId="24" fillId="5" borderId="7" xfId="0" applyFont="1" applyFill="1" applyBorder="1" applyAlignment="1">
      <alignment horizontal="center" vertical="center"/>
    </xf>
    <xf numFmtId="0" fontId="24" fillId="5" borderId="2" xfId="0" applyFont="1" applyFill="1" applyBorder="1" applyAlignment="1">
      <alignment horizontal="center" vertical="center"/>
    </xf>
    <xf numFmtId="0" fontId="8" fillId="5" borderId="32" xfId="0" applyFont="1" applyFill="1" applyBorder="1" applyAlignment="1">
      <alignment horizontal="center" vertical="center" wrapText="1"/>
    </xf>
    <xf numFmtId="0" fontId="32" fillId="5" borderId="28" xfId="0" applyFont="1" applyFill="1" applyBorder="1" applyAlignment="1">
      <alignment horizontal="center" vertical="center" wrapText="1"/>
    </xf>
    <xf numFmtId="0" fontId="33" fillId="5" borderId="30" xfId="0" applyFont="1" applyFill="1" applyBorder="1" applyAlignment="1">
      <alignment horizontal="center" vertical="center" wrapText="1"/>
    </xf>
    <xf numFmtId="0" fontId="33" fillId="5" borderId="32" xfId="0" applyFont="1" applyFill="1" applyBorder="1" applyAlignment="1">
      <alignment horizontal="center" vertical="center" wrapText="1"/>
    </xf>
    <xf numFmtId="0" fontId="33" fillId="5" borderId="5" xfId="0" applyFont="1" applyFill="1" applyBorder="1" applyAlignment="1">
      <alignment horizontal="center" vertical="center" wrapText="1"/>
    </xf>
    <xf numFmtId="0" fontId="8" fillId="5" borderId="6" xfId="0" applyFont="1" applyFill="1" applyBorder="1" applyAlignment="1">
      <alignment horizontal="center" vertical="center" shrinkToFit="1"/>
    </xf>
    <xf numFmtId="0" fontId="8" fillId="5" borderId="2" xfId="0" applyFont="1" applyFill="1" applyBorder="1" applyAlignment="1">
      <alignment horizontal="center" vertical="center" shrinkToFit="1"/>
    </xf>
    <xf numFmtId="0" fontId="0" fillId="5" borderId="32" xfId="0" applyFill="1" applyBorder="1">
      <alignment vertical="center"/>
    </xf>
    <xf numFmtId="0" fontId="0" fillId="5" borderId="5" xfId="0" applyFill="1" applyBorder="1">
      <alignment vertical="center"/>
    </xf>
    <xf numFmtId="0" fontId="27" fillId="5" borderId="2" xfId="0" applyFont="1" applyFill="1" applyBorder="1" applyAlignment="1">
      <alignment horizontal="center" vertical="center"/>
    </xf>
    <xf numFmtId="186" fontId="0" fillId="12" borderId="4" xfId="0" applyNumberFormat="1" applyFill="1" applyBorder="1" applyAlignment="1">
      <alignment horizontal="center" vertical="center"/>
    </xf>
    <xf numFmtId="186" fontId="0" fillId="12" borderId="1" xfId="0" applyNumberFormat="1" applyFill="1" applyBorder="1" applyAlignment="1">
      <alignment horizontal="center" vertical="center"/>
    </xf>
    <xf numFmtId="184" fontId="0" fillId="3" borderId="3" xfId="0" applyNumberFormat="1" applyFill="1" applyBorder="1" applyAlignment="1">
      <alignment horizontal="center" vertical="center"/>
    </xf>
    <xf numFmtId="0" fontId="0" fillId="5" borderId="3" xfId="0" applyFill="1" applyBorder="1" applyAlignment="1">
      <alignment vertical="center" wrapText="1"/>
    </xf>
    <xf numFmtId="0" fontId="0" fillId="5" borderId="4" xfId="0" applyFill="1" applyBorder="1" applyAlignment="1">
      <alignment vertical="center" wrapText="1"/>
    </xf>
    <xf numFmtId="0" fontId="0" fillId="5" borderId="30" xfId="0" applyFill="1" applyBorder="1" applyAlignment="1">
      <alignment horizontal="left" vertical="center"/>
    </xf>
    <xf numFmtId="0" fontId="0" fillId="5" borderId="5" xfId="0" applyFill="1" applyBorder="1" applyAlignment="1">
      <alignment horizontal="left" vertical="center"/>
    </xf>
    <xf numFmtId="0" fontId="0" fillId="5" borderId="2" xfId="0" applyFill="1" applyBorder="1" applyAlignment="1">
      <alignment horizontal="center" vertical="center" shrinkToFit="1"/>
    </xf>
    <xf numFmtId="0" fontId="8" fillId="5" borderId="6" xfId="0" applyFont="1" applyFill="1" applyBorder="1" applyAlignment="1">
      <alignment horizontal="center" vertical="center" wrapText="1"/>
    </xf>
    <xf numFmtId="0" fontId="8" fillId="5" borderId="2" xfId="0" applyFont="1" applyFill="1" applyBorder="1" applyAlignment="1">
      <alignment horizontal="center" vertical="center" wrapText="1"/>
    </xf>
    <xf numFmtId="0" fontId="8" fillId="5" borderId="28" xfId="0" applyFont="1" applyFill="1" applyBorder="1" applyAlignment="1">
      <alignment horizontal="center" vertical="center" wrapText="1"/>
    </xf>
    <xf numFmtId="0" fontId="8" fillId="5" borderId="30" xfId="0" applyFont="1" applyFill="1" applyBorder="1" applyAlignment="1">
      <alignment horizontal="center" vertical="center" wrapText="1"/>
    </xf>
    <xf numFmtId="0" fontId="8" fillId="5" borderId="5" xfId="0" applyFont="1" applyFill="1" applyBorder="1" applyAlignment="1">
      <alignment horizontal="center" vertical="center" wrapText="1"/>
    </xf>
    <xf numFmtId="0" fontId="8" fillId="3" borderId="4" xfId="0" applyFont="1" applyFill="1" applyBorder="1" applyAlignment="1">
      <alignment horizontal="center" vertical="center"/>
    </xf>
    <xf numFmtId="0" fontId="8" fillId="5" borderId="3" xfId="0" applyFont="1" applyFill="1" applyBorder="1" applyAlignment="1">
      <alignment vertical="center" wrapText="1"/>
    </xf>
    <xf numFmtId="0" fontId="8" fillId="5" borderId="4" xfId="0" applyFont="1" applyFill="1" applyBorder="1" applyAlignment="1">
      <alignment vertical="center" wrapText="1"/>
    </xf>
    <xf numFmtId="0" fontId="25" fillId="0" borderId="7" xfId="0" applyFont="1" applyBorder="1">
      <alignment vertical="center"/>
    </xf>
    <xf numFmtId="0" fontId="25" fillId="0" borderId="2" xfId="0" applyFont="1" applyBorder="1">
      <alignment vertical="center"/>
    </xf>
    <xf numFmtId="0" fontId="0" fillId="0" borderId="6" xfId="0" applyBorder="1" applyAlignment="1">
      <alignment horizontal="center" vertical="center" wrapText="1"/>
    </xf>
    <xf numFmtId="0" fontId="0" fillId="0" borderId="2" xfId="0" applyBorder="1" applyAlignment="1">
      <alignment horizontal="center" vertical="center" wrapText="1"/>
    </xf>
    <xf numFmtId="0" fontId="0" fillId="0" borderId="3" xfId="0" applyBorder="1" applyAlignment="1">
      <alignment vertical="center" wrapText="1"/>
    </xf>
    <xf numFmtId="0" fontId="0" fillId="0" borderId="4" xfId="0" applyBorder="1" applyAlignment="1">
      <alignment vertical="center" wrapText="1"/>
    </xf>
    <xf numFmtId="0" fontId="16" fillId="0" borderId="3" xfId="0" applyFont="1" applyBorder="1" applyAlignment="1">
      <alignment horizontal="left" vertical="center"/>
    </xf>
    <xf numFmtId="0" fontId="8" fillId="0" borderId="0" xfId="0" applyFont="1" applyAlignment="1">
      <alignment horizontal="center" vertical="center"/>
    </xf>
    <xf numFmtId="183" fontId="16" fillId="0" borderId="3" xfId="0" applyNumberFormat="1" applyFont="1" applyBorder="1" applyAlignment="1">
      <alignment horizontal="center" vertical="center"/>
    </xf>
    <xf numFmtId="183" fontId="0" fillId="0" borderId="4" xfId="0" applyNumberFormat="1" applyBorder="1" applyAlignment="1">
      <alignment horizontal="center" vertical="center"/>
    </xf>
    <xf numFmtId="184" fontId="0" fillId="0" borderId="3" xfId="0" applyNumberFormat="1" applyBorder="1" applyAlignment="1">
      <alignment horizontal="center" vertical="center"/>
    </xf>
    <xf numFmtId="184" fontId="0" fillId="0" borderId="4" xfId="0" applyNumberFormat="1" applyBorder="1" applyAlignment="1">
      <alignment horizontal="center" vertical="center"/>
    </xf>
    <xf numFmtId="0" fontId="0" fillId="0" borderId="27" xfId="0" applyBorder="1">
      <alignment vertical="center"/>
    </xf>
    <xf numFmtId="0" fontId="0" fillId="0" borderId="4" xfId="0" applyBorder="1">
      <alignment vertical="center"/>
    </xf>
    <xf numFmtId="177" fontId="0" fillId="0" borderId="3" xfId="0" applyNumberFormat="1" applyBorder="1" applyAlignment="1">
      <alignment horizontal="center" vertical="center"/>
    </xf>
    <xf numFmtId="177" fontId="0" fillId="0" borderId="4" xfId="0" applyNumberFormat="1" applyBorder="1" applyAlignment="1">
      <alignment horizontal="center" vertical="center"/>
    </xf>
    <xf numFmtId="0" fontId="0" fillId="0" borderId="30" xfId="0" applyBorder="1" applyAlignment="1">
      <alignment horizontal="left" vertical="center" wrapText="1"/>
    </xf>
    <xf numFmtId="0" fontId="0" fillId="0" borderId="31" xfId="0" applyBorder="1" applyAlignment="1">
      <alignment horizontal="left" vertical="center" wrapText="1"/>
    </xf>
    <xf numFmtId="0" fontId="0" fillId="0" borderId="5" xfId="0" applyBorder="1" applyAlignment="1">
      <alignment horizontal="left" vertical="center" wrapText="1"/>
    </xf>
    <xf numFmtId="0" fontId="0" fillId="0" borderId="27" xfId="0" applyBorder="1" applyAlignment="1">
      <alignment horizontal="center" vertical="center"/>
    </xf>
    <xf numFmtId="0" fontId="5" fillId="0" borderId="26" xfId="0" applyFont="1" applyBorder="1" applyAlignment="1">
      <alignment horizontal="center" vertical="center" wrapText="1"/>
    </xf>
    <xf numFmtId="0" fontId="0" fillId="0" borderId="31" xfId="0" applyBorder="1" applyAlignment="1">
      <alignment horizontal="center" vertical="center" wrapText="1"/>
    </xf>
    <xf numFmtId="177" fontId="0" fillId="0" borderId="27" xfId="0" applyNumberFormat="1" applyBorder="1" applyAlignment="1">
      <alignment horizontal="center" vertical="center"/>
    </xf>
    <xf numFmtId="0" fontId="0" fillId="9" borderId="6" xfId="0" applyFill="1" applyBorder="1" applyAlignment="1">
      <alignment horizontal="center" vertical="center"/>
    </xf>
    <xf numFmtId="0" fontId="0" fillId="9" borderId="2" xfId="0" applyFill="1" applyBorder="1" applyAlignment="1">
      <alignment horizontal="center" vertical="center"/>
    </xf>
    <xf numFmtId="0" fontId="0" fillId="5" borderId="1" xfId="0" applyFill="1" applyBorder="1" applyAlignment="1">
      <alignment horizontal="left" vertical="center" shrinkToFit="1"/>
    </xf>
    <xf numFmtId="0" fontId="0" fillId="5" borderId="1" xfId="0" applyFill="1" applyBorder="1" applyAlignment="1">
      <alignment horizontal="left" vertical="center"/>
    </xf>
    <xf numFmtId="0" fontId="0" fillId="5" borderId="6" xfId="0" applyFill="1" applyBorder="1" applyAlignment="1">
      <alignment horizontal="left" vertical="center" shrinkToFit="1"/>
    </xf>
    <xf numFmtId="0" fontId="0" fillId="5" borderId="2" xfId="0" applyFill="1" applyBorder="1" applyAlignment="1">
      <alignment horizontal="left" vertical="center" shrinkToFit="1"/>
    </xf>
    <xf numFmtId="177" fontId="16" fillId="0" borderId="3" xfId="0" applyNumberFormat="1" applyFont="1" applyBorder="1" applyAlignment="1">
      <alignment horizontal="center" vertical="center"/>
    </xf>
    <xf numFmtId="177" fontId="16" fillId="0" borderId="4" xfId="0" applyNumberFormat="1" applyFont="1" applyBorder="1" applyAlignment="1">
      <alignment horizontal="center" vertical="center"/>
    </xf>
    <xf numFmtId="0" fontId="0" fillId="0" borderId="27" xfId="0" applyBorder="1" applyAlignment="1">
      <alignment horizontal="left" vertical="center" wrapText="1"/>
    </xf>
    <xf numFmtId="0" fontId="30" fillId="0" borderId="29" xfId="0" applyFont="1" applyBorder="1" applyAlignment="1">
      <alignment horizontal="left" vertical="center" wrapText="1" shrinkToFit="1"/>
    </xf>
    <xf numFmtId="0" fontId="31" fillId="0" borderId="29" xfId="0" applyFont="1" applyBorder="1" applyAlignment="1">
      <alignment vertical="center" wrapText="1" shrinkToFit="1"/>
    </xf>
    <xf numFmtId="0" fontId="31" fillId="0" borderId="0" xfId="0" applyFont="1" applyAlignment="1">
      <alignment vertical="center" wrapText="1" shrinkToFit="1"/>
    </xf>
    <xf numFmtId="0" fontId="5" fillId="0" borderId="31" xfId="0" applyFont="1" applyBorder="1" applyAlignment="1">
      <alignment horizontal="center" vertical="center" wrapText="1"/>
    </xf>
    <xf numFmtId="0" fontId="16" fillId="0" borderId="1" xfId="0" applyFont="1" applyBorder="1" applyAlignment="1">
      <alignment horizontal="center" vertical="center"/>
    </xf>
    <xf numFmtId="0" fontId="0" fillId="0" borderId="8" xfId="0" applyBorder="1" applyAlignment="1">
      <alignment horizontal="left" vertical="center"/>
    </xf>
    <xf numFmtId="0" fontId="15" fillId="0" borderId="0" xfId="0" applyFont="1" applyAlignment="1">
      <alignment horizontal="left" vertical="center"/>
    </xf>
    <xf numFmtId="0" fontId="0" fillId="0" borderId="0" xfId="0">
      <alignment vertical="center"/>
    </xf>
    <xf numFmtId="0" fontId="0" fillId="0" borderId="8" xfId="0" applyBorder="1">
      <alignment vertical="center"/>
    </xf>
    <xf numFmtId="0" fontId="0" fillId="0" borderId="2" xfId="0" applyBorder="1">
      <alignment vertical="center"/>
    </xf>
    <xf numFmtId="0" fontId="0" fillId="12" borderId="27" xfId="0" applyFill="1" applyBorder="1" applyAlignment="1">
      <alignment horizontal="center" vertical="center"/>
    </xf>
    <xf numFmtId="0" fontId="8" fillId="3" borderId="6" xfId="0" applyFont="1" applyFill="1" applyBorder="1" applyAlignment="1">
      <alignment horizontal="center" vertical="center"/>
    </xf>
    <xf numFmtId="0" fontId="8" fillId="3" borderId="7" xfId="0" applyFont="1" applyFill="1" applyBorder="1" applyAlignment="1">
      <alignment horizontal="center" vertical="center"/>
    </xf>
    <xf numFmtId="0" fontId="5" fillId="0" borderId="28" xfId="0" applyFont="1" applyBorder="1" applyAlignment="1">
      <alignment horizontal="center" vertical="center"/>
    </xf>
    <xf numFmtId="0" fontId="5" fillId="0" borderId="30" xfId="0" applyFont="1" applyBorder="1" applyAlignment="1">
      <alignment horizontal="center" vertical="center"/>
    </xf>
    <xf numFmtId="0" fontId="5" fillId="0" borderId="32" xfId="0" applyFont="1" applyBorder="1" applyAlignment="1">
      <alignment horizontal="center" vertical="center"/>
    </xf>
    <xf numFmtId="0" fontId="5" fillId="0" borderId="5" xfId="0" applyFont="1" applyBorder="1" applyAlignment="1">
      <alignment horizontal="center" vertical="center"/>
    </xf>
    <xf numFmtId="0" fontId="0" fillId="8" borderId="3" xfId="0" applyFill="1" applyBorder="1" applyAlignment="1">
      <alignment horizontal="center" vertical="center"/>
    </xf>
    <xf numFmtId="0" fontId="0" fillId="8" borderId="4" xfId="0" applyFill="1" applyBorder="1" applyAlignment="1">
      <alignment horizontal="center" vertical="center"/>
    </xf>
    <xf numFmtId="0" fontId="0" fillId="9" borderId="3" xfId="0" applyFill="1" applyBorder="1" applyAlignment="1">
      <alignment horizontal="center" vertical="center"/>
    </xf>
    <xf numFmtId="0" fontId="0" fillId="9" borderId="4" xfId="0" applyFill="1" applyBorder="1" applyAlignment="1">
      <alignment horizontal="center" vertical="center"/>
    </xf>
    <xf numFmtId="178" fontId="16" fillId="0" borderId="3" xfId="0" applyNumberFormat="1" applyFont="1" applyBorder="1" applyAlignment="1">
      <alignment horizontal="center" vertical="center"/>
    </xf>
    <xf numFmtId="178" fontId="16" fillId="0" borderId="4" xfId="0" applyNumberFormat="1" applyFont="1" applyBorder="1" applyAlignment="1">
      <alignment horizontal="center" vertical="center"/>
    </xf>
    <xf numFmtId="188" fontId="0" fillId="0" borderId="3" xfId="0" applyNumberFormat="1" applyBorder="1" applyAlignment="1">
      <alignment horizontal="center" vertical="center"/>
    </xf>
    <xf numFmtId="188" fontId="0" fillId="0" borderId="4" xfId="0" applyNumberFormat="1" applyBorder="1" applyAlignment="1">
      <alignment horizontal="center" vertical="center"/>
    </xf>
    <xf numFmtId="187" fontId="0" fillId="0" borderId="3" xfId="0" applyNumberFormat="1" applyBorder="1" applyAlignment="1">
      <alignment horizontal="center" vertical="center"/>
    </xf>
    <xf numFmtId="187" fontId="0" fillId="0" borderId="4" xfId="0" applyNumberFormat="1" applyBorder="1" applyAlignment="1">
      <alignment horizontal="center" vertical="center"/>
    </xf>
    <xf numFmtId="178" fontId="0" fillId="0" borderId="3" xfId="0" applyNumberFormat="1" applyBorder="1" applyAlignment="1">
      <alignment horizontal="center" vertical="center"/>
    </xf>
    <xf numFmtId="178" fontId="0" fillId="0" borderId="4" xfId="0" applyNumberFormat="1" applyBorder="1" applyAlignment="1">
      <alignment horizontal="center" vertical="center"/>
    </xf>
    <xf numFmtId="0" fontId="0" fillId="0" borderId="27" xfId="0" applyBorder="1" applyAlignment="1">
      <alignment horizontal="center" vertical="center" wrapText="1"/>
    </xf>
    <xf numFmtId="0" fontId="38" fillId="0" borderId="28" xfId="0" applyFont="1" applyBorder="1" applyAlignment="1">
      <alignment horizontal="center" vertical="center" wrapText="1"/>
    </xf>
    <xf numFmtId="0" fontId="38" fillId="0" borderId="30" xfId="0" applyFont="1" applyBorder="1" applyAlignment="1">
      <alignment horizontal="center" vertical="center" wrapText="1"/>
    </xf>
    <xf numFmtId="0" fontId="38" fillId="0" borderId="26" xfId="0" applyFont="1" applyBorder="1" applyAlignment="1">
      <alignment horizontal="center" vertical="center" wrapText="1"/>
    </xf>
    <xf numFmtId="0" fontId="38" fillId="0" borderId="31" xfId="0" applyFont="1" applyBorder="1" applyAlignment="1">
      <alignment horizontal="center" vertical="center" wrapText="1"/>
    </xf>
    <xf numFmtId="0" fontId="38" fillId="0" borderId="32" xfId="0" applyFont="1" applyBorder="1" applyAlignment="1">
      <alignment horizontal="center" vertical="center" wrapText="1"/>
    </xf>
    <xf numFmtId="0" fontId="38" fillId="0" borderId="5" xfId="0" applyFont="1" applyBorder="1" applyAlignment="1">
      <alignment horizontal="center" vertical="center" wrapText="1"/>
    </xf>
    <xf numFmtId="178" fontId="8" fillId="0" borderId="3" xfId="0" applyNumberFormat="1" applyFont="1" applyBorder="1" applyAlignment="1">
      <alignment horizontal="center" vertical="center"/>
    </xf>
    <xf numFmtId="178" fontId="8" fillId="0" borderId="27" xfId="0" applyNumberFormat="1" applyFont="1" applyBorder="1" applyAlignment="1">
      <alignment horizontal="center" vertical="center"/>
    </xf>
    <xf numFmtId="178" fontId="8" fillId="0" borderId="4" xfId="0" applyNumberFormat="1" applyFont="1" applyBorder="1" applyAlignment="1">
      <alignment horizontal="center" vertical="center"/>
    </xf>
    <xf numFmtId="0" fontId="8" fillId="0" borderId="3" xfId="0" applyFont="1" applyBorder="1" applyAlignment="1">
      <alignment horizontal="left" vertical="center" wrapText="1"/>
    </xf>
    <xf numFmtId="0" fontId="8" fillId="0" borderId="27"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vertical="center"/>
    </xf>
    <xf numFmtId="177" fontId="0" fillId="0" borderId="6" xfId="0" applyNumberFormat="1" applyBorder="1" applyAlignment="1">
      <alignment horizontal="center" vertical="center"/>
    </xf>
    <xf numFmtId="177" fontId="0" fillId="0" borderId="2" xfId="0" applyNumberFormat="1" applyBorder="1" applyAlignment="1">
      <alignment horizontal="center" vertical="center"/>
    </xf>
    <xf numFmtId="0" fontId="38" fillId="5" borderId="6" xfId="0" applyFont="1" applyFill="1" applyBorder="1" applyAlignment="1">
      <alignment horizontal="center" vertical="center" wrapText="1"/>
    </xf>
    <xf numFmtId="0" fontId="38" fillId="5" borderId="2" xfId="0" applyFont="1" applyFill="1" applyBorder="1" applyAlignment="1">
      <alignment horizontal="center" vertical="center" wrapText="1"/>
    </xf>
    <xf numFmtId="178" fontId="0" fillId="0" borderId="6" xfId="0" applyNumberFormat="1" applyBorder="1" applyAlignment="1">
      <alignment horizontal="center" vertical="center"/>
    </xf>
    <xf numFmtId="0" fontId="24" fillId="9" borderId="1" xfId="0" applyFont="1" applyFill="1" applyBorder="1" applyAlignment="1">
      <alignment horizontal="center" vertical="center"/>
    </xf>
    <xf numFmtId="0" fontId="25" fillId="9" borderId="1" xfId="0" applyFont="1" applyFill="1" applyBorder="1" applyAlignment="1">
      <alignment horizontal="center" vertical="center"/>
    </xf>
    <xf numFmtId="180" fontId="0" fillId="0" borderId="6" xfId="0" applyNumberFormat="1" applyBorder="1" applyAlignment="1">
      <alignment horizontal="center" vertical="center"/>
    </xf>
    <xf numFmtId="180" fontId="0" fillId="0" borderId="2" xfId="0" applyNumberFormat="1" applyBorder="1" applyAlignment="1">
      <alignment horizontal="center" vertical="center"/>
    </xf>
    <xf numFmtId="0" fontId="8" fillId="5" borderId="28" xfId="0" applyFont="1" applyFill="1" applyBorder="1" applyAlignment="1">
      <alignment horizontal="left" vertical="center" wrapText="1"/>
    </xf>
    <xf numFmtId="0" fontId="0" fillId="5" borderId="28" xfId="0" applyFill="1" applyBorder="1" applyAlignment="1">
      <alignment horizontal="left" vertical="center" wrapText="1"/>
    </xf>
    <xf numFmtId="0" fontId="0" fillId="5" borderId="29" xfId="0" applyFill="1" applyBorder="1" applyAlignment="1">
      <alignment horizontal="left" vertical="center"/>
    </xf>
    <xf numFmtId="0" fontId="0" fillId="5" borderId="26" xfId="0" applyFill="1" applyBorder="1" applyAlignment="1">
      <alignment horizontal="left" vertical="center"/>
    </xf>
    <xf numFmtId="0" fontId="0" fillId="5" borderId="0" xfId="0" applyFill="1" applyAlignment="1">
      <alignment horizontal="left" vertical="center"/>
    </xf>
    <xf numFmtId="0" fontId="38" fillId="5" borderId="28" xfId="0" applyFont="1" applyFill="1" applyBorder="1" applyAlignment="1">
      <alignment horizontal="center" vertical="center" wrapText="1"/>
    </xf>
    <xf numFmtId="0" fontId="38" fillId="5" borderId="30" xfId="0" applyFont="1" applyFill="1" applyBorder="1" applyAlignment="1">
      <alignment horizontal="center" vertical="center" wrapText="1"/>
    </xf>
    <xf numFmtId="0" fontId="38" fillId="5" borderId="32" xfId="0" applyFont="1" applyFill="1" applyBorder="1" applyAlignment="1">
      <alignment horizontal="center" vertical="center" wrapText="1"/>
    </xf>
    <xf numFmtId="0" fontId="38" fillId="5" borderId="5" xfId="0" applyFont="1" applyFill="1" applyBorder="1" applyAlignment="1">
      <alignment horizontal="center" vertical="center" wrapText="1"/>
    </xf>
    <xf numFmtId="177" fontId="8" fillId="3" borderId="4" xfId="0" applyNumberFormat="1" applyFont="1" applyFill="1" applyBorder="1" applyAlignment="1">
      <alignment horizontal="center" vertical="center"/>
    </xf>
    <xf numFmtId="0" fontId="0" fillId="5" borderId="7" xfId="0" applyFill="1" applyBorder="1" applyAlignment="1">
      <alignment horizontal="center" vertical="center"/>
    </xf>
    <xf numFmtId="0" fontId="0" fillId="5" borderId="28" xfId="0" applyFill="1" applyBorder="1" applyAlignment="1">
      <alignment horizontal="left" vertical="center"/>
    </xf>
    <xf numFmtId="0" fontId="0" fillId="5" borderId="31" xfId="0" applyFill="1" applyBorder="1" applyAlignment="1">
      <alignment horizontal="left" vertical="center"/>
    </xf>
    <xf numFmtId="0" fontId="0" fillId="5" borderId="32" xfId="0" applyFill="1" applyBorder="1" applyAlignment="1">
      <alignment horizontal="left" vertical="center"/>
    </xf>
    <xf numFmtId="0" fontId="16" fillId="5" borderId="3" xfId="0" applyFont="1" applyFill="1" applyBorder="1" applyAlignment="1">
      <alignment horizontal="left" vertical="center"/>
    </xf>
    <xf numFmtId="0" fontId="4" fillId="0" borderId="1" xfId="0" applyFont="1" applyBorder="1" applyAlignment="1">
      <alignment horizontal="center" vertical="center" wrapText="1"/>
    </xf>
    <xf numFmtId="0" fontId="4" fillId="0" borderId="1" xfId="0" applyFont="1" applyBorder="1" applyAlignment="1">
      <alignment horizontal="center" vertical="center"/>
    </xf>
    <xf numFmtId="0" fontId="41" fillId="5" borderId="3" xfId="8" applyFill="1" applyBorder="1" applyAlignment="1">
      <alignment horizontal="center" vertical="center" textRotation="255"/>
    </xf>
    <xf numFmtId="0" fontId="41" fillId="5" borderId="27" xfId="8" applyFill="1" applyBorder="1" applyAlignment="1">
      <alignment horizontal="center" vertical="center" textRotation="255"/>
    </xf>
    <xf numFmtId="0" fontId="41" fillId="5" borderId="4" xfId="8" applyFill="1" applyBorder="1" applyAlignment="1">
      <alignment horizontal="center" vertical="center" textRotation="255"/>
    </xf>
    <xf numFmtId="0" fontId="41" fillId="5" borderId="1" xfId="8" applyFill="1" applyBorder="1">
      <alignment vertical="center"/>
    </xf>
    <xf numFmtId="3" fontId="41" fillId="4" borderId="6" xfId="8" applyNumberFormat="1" applyFill="1" applyBorder="1">
      <alignment vertical="center"/>
    </xf>
    <xf numFmtId="3" fontId="41" fillId="4" borderId="2" xfId="8" applyNumberFormat="1" applyFill="1" applyBorder="1">
      <alignment vertical="center"/>
    </xf>
    <xf numFmtId="0" fontId="41" fillId="5" borderId="1" xfId="8" applyFill="1" applyBorder="1" applyAlignment="1">
      <alignment horizontal="left" vertical="center" shrinkToFit="1"/>
    </xf>
    <xf numFmtId="0" fontId="45" fillId="0" borderId="0" xfId="8" applyFont="1" applyAlignment="1">
      <alignment vertical="top" wrapText="1"/>
    </xf>
    <xf numFmtId="3" fontId="41" fillId="3" borderId="6" xfId="8" applyNumberFormat="1" applyFill="1" applyBorder="1">
      <alignment vertical="center"/>
    </xf>
    <xf numFmtId="3" fontId="41" fillId="3" borderId="2" xfId="8" applyNumberFormat="1" applyFill="1" applyBorder="1">
      <alignment vertical="center"/>
    </xf>
    <xf numFmtId="0" fontId="41" fillId="5" borderId="6" xfId="8" applyFill="1" applyBorder="1" applyAlignment="1">
      <alignment horizontal="left" vertical="center" shrinkToFit="1"/>
    </xf>
    <xf numFmtId="0" fontId="41" fillId="5" borderId="2" xfId="8" applyFill="1" applyBorder="1" applyAlignment="1">
      <alignment horizontal="left" vertical="center" shrinkToFit="1"/>
    </xf>
    <xf numFmtId="0" fontId="41" fillId="5" borderId="28" xfId="8" applyFill="1" applyBorder="1">
      <alignment vertical="center"/>
    </xf>
    <xf numFmtId="0" fontId="41" fillId="5" borderId="30" xfId="8" applyFill="1" applyBorder="1">
      <alignment vertical="center"/>
    </xf>
    <xf numFmtId="0" fontId="41" fillId="5" borderId="32" xfId="8" applyFill="1" applyBorder="1">
      <alignment vertical="center"/>
    </xf>
    <xf numFmtId="0" fontId="41" fillId="5" borderId="5" xfId="8" applyFill="1" applyBorder="1">
      <alignment vertical="center"/>
    </xf>
    <xf numFmtId="0" fontId="41" fillId="5" borderId="6" xfId="8" applyFill="1" applyBorder="1">
      <alignment vertical="center"/>
    </xf>
    <xf numFmtId="0" fontId="41" fillId="5" borderId="7" xfId="8" applyFill="1" applyBorder="1">
      <alignment vertical="center"/>
    </xf>
    <xf numFmtId="0" fontId="41" fillId="5" borderId="2" xfId="8" applyFill="1" applyBorder="1">
      <alignment vertical="center"/>
    </xf>
    <xf numFmtId="0" fontId="41" fillId="0" borderId="0" xfId="8">
      <alignment vertical="center"/>
    </xf>
    <xf numFmtId="0" fontId="41" fillId="10" borderId="1" xfId="8" applyFill="1" applyBorder="1">
      <alignment vertical="center"/>
    </xf>
    <xf numFmtId="0" fontId="41" fillId="0" borderId="0" xfId="8" applyAlignment="1">
      <alignment horizontal="center" vertical="center" shrinkToFit="1"/>
    </xf>
    <xf numFmtId="0" fontId="41" fillId="5" borderId="1" xfId="8" applyFill="1" applyBorder="1" applyAlignment="1">
      <alignment horizontal="center" vertical="center" textRotation="255" wrapText="1" shrinkToFit="1"/>
    </xf>
    <xf numFmtId="0" fontId="41" fillId="5" borderId="1" xfId="8" applyFill="1" applyBorder="1" applyAlignment="1">
      <alignment horizontal="center" vertical="center" textRotation="255" shrinkToFit="1"/>
    </xf>
    <xf numFmtId="189" fontId="41" fillId="3" borderId="6" xfId="8" applyNumberFormat="1" applyFill="1" applyBorder="1">
      <alignment vertical="center"/>
    </xf>
    <xf numFmtId="189" fontId="41" fillId="3" borderId="2" xfId="8" applyNumberFormat="1" applyFill="1" applyBorder="1">
      <alignment vertical="center"/>
    </xf>
    <xf numFmtId="176" fontId="41" fillId="10" borderId="1" xfId="8" applyNumberFormat="1" applyFill="1" applyBorder="1">
      <alignment vertical="center"/>
    </xf>
    <xf numFmtId="38" fontId="0" fillId="10" borderId="1" xfId="9" applyFont="1" applyFill="1" applyBorder="1" applyAlignment="1">
      <alignment vertical="center"/>
    </xf>
    <xf numFmtId="190" fontId="41" fillId="12" borderId="1" xfId="8" applyNumberFormat="1" applyFill="1" applyBorder="1">
      <alignment vertical="center"/>
    </xf>
    <xf numFmtId="0" fontId="41" fillId="12" borderId="1" xfId="8" applyFill="1" applyBorder="1">
      <alignment vertical="center"/>
    </xf>
    <xf numFmtId="0" fontId="41" fillId="5" borderId="6" xfId="8" applyFill="1" applyBorder="1" applyAlignment="1">
      <alignment horizontal="center" vertical="center"/>
    </xf>
    <xf numFmtId="0" fontId="41" fillId="5" borderId="7" xfId="8" applyFill="1" applyBorder="1" applyAlignment="1">
      <alignment horizontal="center" vertical="center"/>
    </xf>
    <xf numFmtId="0" fontId="41" fillId="5" borderId="2" xfId="8" applyFill="1" applyBorder="1" applyAlignment="1">
      <alignment horizontal="center" vertical="center"/>
    </xf>
    <xf numFmtId="0" fontId="41" fillId="10" borderId="3" xfId="8" applyFill="1" applyBorder="1" applyAlignment="1">
      <alignment horizontal="center" vertical="center"/>
    </xf>
    <xf numFmtId="0" fontId="41" fillId="10" borderId="27" xfId="8" applyFill="1" applyBorder="1" applyAlignment="1">
      <alignment horizontal="center" vertical="center"/>
    </xf>
    <xf numFmtId="0" fontId="41" fillId="10" borderId="4" xfId="8" applyFill="1" applyBorder="1" applyAlignment="1">
      <alignment horizontal="center" vertical="center"/>
    </xf>
    <xf numFmtId="0" fontId="41" fillId="5" borderId="3" xfId="8" applyFill="1" applyBorder="1" applyAlignment="1">
      <alignment horizontal="center" vertical="center"/>
    </xf>
    <xf numFmtId="0" fontId="41" fillId="5" borderId="27" xfId="8" applyFill="1" applyBorder="1" applyAlignment="1">
      <alignment horizontal="center" vertical="center"/>
    </xf>
    <xf numFmtId="0" fontId="41" fillId="5" borderId="4" xfId="8" applyFill="1" applyBorder="1" applyAlignment="1">
      <alignment horizontal="center" vertical="center"/>
    </xf>
    <xf numFmtId="0" fontId="41" fillId="10" borderId="6" xfId="8" applyFill="1" applyBorder="1">
      <alignment vertical="center"/>
    </xf>
    <xf numFmtId="0" fontId="41" fillId="10" borderId="2" xfId="8" applyFill="1" applyBorder="1">
      <alignment vertical="center"/>
    </xf>
    <xf numFmtId="0" fontId="41" fillId="5" borderId="3" xfId="8" applyFill="1" applyBorder="1">
      <alignment vertical="center"/>
    </xf>
    <xf numFmtId="0" fontId="41" fillId="5" borderId="4" xfId="8" applyFill="1" applyBorder="1">
      <alignment vertical="center"/>
    </xf>
    <xf numFmtId="0" fontId="41" fillId="5" borderId="3" xfId="8" applyFill="1" applyBorder="1" applyAlignment="1">
      <alignment horizontal="left" vertical="center" wrapText="1"/>
    </xf>
    <xf numFmtId="0" fontId="41" fillId="5" borderId="27" xfId="8" applyFill="1" applyBorder="1" applyAlignment="1">
      <alignment horizontal="left" vertical="center" wrapText="1"/>
    </xf>
    <xf numFmtId="0" fontId="41" fillId="5" borderId="4" xfId="8" applyFill="1" applyBorder="1" applyAlignment="1">
      <alignment horizontal="left" vertical="center" wrapText="1"/>
    </xf>
    <xf numFmtId="0" fontId="41" fillId="5" borderId="3" xfId="8" applyFill="1" applyBorder="1" applyAlignment="1">
      <alignment horizontal="left" vertical="center"/>
    </xf>
    <xf numFmtId="0" fontId="41" fillId="5" borderId="27" xfId="8" applyFill="1" applyBorder="1" applyAlignment="1">
      <alignment horizontal="left" vertical="center"/>
    </xf>
    <xf numFmtId="0" fontId="41" fillId="5" borderId="4" xfId="8" applyFill="1" applyBorder="1" applyAlignment="1">
      <alignment horizontal="left" vertical="center"/>
    </xf>
    <xf numFmtId="0" fontId="41" fillId="5" borderId="28" xfId="8" applyFill="1" applyBorder="1" applyAlignment="1">
      <alignment horizontal="center" vertical="center" wrapText="1"/>
    </xf>
    <xf numFmtId="0" fontId="41" fillId="5" borderId="30" xfId="8" applyFill="1" applyBorder="1" applyAlignment="1">
      <alignment horizontal="center" vertical="center" wrapText="1"/>
    </xf>
    <xf numFmtId="0" fontId="41" fillId="5" borderId="26" xfId="8" applyFill="1" applyBorder="1" applyAlignment="1">
      <alignment horizontal="center" vertical="center" wrapText="1"/>
    </xf>
    <xf numFmtId="0" fontId="41" fillId="5" borderId="31" xfId="8" applyFill="1" applyBorder="1" applyAlignment="1">
      <alignment horizontal="center" vertical="center" wrapText="1"/>
    </xf>
    <xf numFmtId="0" fontId="41" fillId="5" borderId="32" xfId="8" applyFill="1" applyBorder="1" applyAlignment="1">
      <alignment horizontal="center" vertical="center" wrapText="1"/>
    </xf>
    <xf numFmtId="0" fontId="41" fillId="5" borderId="5" xfId="8" applyFill="1" applyBorder="1" applyAlignment="1">
      <alignment horizontal="center" vertical="center" wrapText="1"/>
    </xf>
    <xf numFmtId="0" fontId="41" fillId="5" borderId="1" xfId="8" applyFill="1" applyBorder="1" applyAlignment="1">
      <alignment horizontal="center" vertical="center"/>
    </xf>
    <xf numFmtId="0" fontId="41" fillId="5" borderId="30" xfId="8" applyFill="1" applyBorder="1" applyAlignment="1">
      <alignment horizontal="center" vertical="center"/>
    </xf>
    <xf numFmtId="0" fontId="41" fillId="5" borderId="26" xfId="8" applyFill="1" applyBorder="1" applyAlignment="1">
      <alignment horizontal="center" vertical="center"/>
    </xf>
    <xf numFmtId="0" fontId="41" fillId="5" borderId="31" xfId="8" applyFill="1" applyBorder="1" applyAlignment="1">
      <alignment horizontal="center" vertical="center"/>
    </xf>
    <xf numFmtId="0" fontId="41" fillId="5" borderId="32" xfId="8" applyFill="1" applyBorder="1" applyAlignment="1">
      <alignment horizontal="center" vertical="center"/>
    </xf>
    <xf numFmtId="0" fontId="41" fillId="5" borderId="5" xfId="8" applyFill="1" applyBorder="1" applyAlignment="1">
      <alignment horizontal="center" vertical="center"/>
    </xf>
    <xf numFmtId="0" fontId="41" fillId="11" borderId="28" xfId="8" applyFill="1" applyBorder="1" applyAlignment="1">
      <alignment horizontal="center" vertical="center" wrapText="1"/>
    </xf>
    <xf numFmtId="0" fontId="41" fillId="11" borderId="30" xfId="8" applyFill="1" applyBorder="1" applyAlignment="1">
      <alignment horizontal="center" vertical="center" wrapText="1"/>
    </xf>
    <xf numFmtId="0" fontId="41" fillId="11" borderId="26" xfId="8" applyFill="1" applyBorder="1" applyAlignment="1">
      <alignment horizontal="center" vertical="center" wrapText="1"/>
    </xf>
    <xf numFmtId="0" fontId="41" fillId="11" borderId="31" xfId="8" applyFill="1" applyBorder="1" applyAlignment="1">
      <alignment horizontal="center" vertical="center" wrapText="1"/>
    </xf>
    <xf numFmtId="0" fontId="41" fillId="11" borderId="32" xfId="8" applyFill="1" applyBorder="1" applyAlignment="1">
      <alignment horizontal="center" vertical="center" wrapText="1"/>
    </xf>
    <xf numFmtId="0" fontId="41" fillId="11" borderId="5" xfId="8" applyFill="1" applyBorder="1" applyAlignment="1">
      <alignment horizontal="center" vertical="center" wrapText="1"/>
    </xf>
    <xf numFmtId="0" fontId="41" fillId="11" borderId="1" xfId="8" applyFill="1" applyBorder="1" applyAlignment="1">
      <alignment horizontal="center" vertical="center"/>
    </xf>
    <xf numFmtId="3" fontId="54" fillId="11" borderId="6" xfId="8" applyNumberFormat="1" applyFont="1" applyFill="1" applyBorder="1">
      <alignment vertical="center"/>
    </xf>
    <xf numFmtId="3" fontId="54" fillId="11" borderId="2" xfId="8" applyNumberFormat="1" applyFont="1" applyFill="1" applyBorder="1">
      <alignment vertical="center"/>
    </xf>
    <xf numFmtId="0" fontId="41" fillId="11" borderId="3" xfId="8" applyFill="1" applyBorder="1" applyAlignment="1">
      <alignment horizontal="center" vertical="center"/>
    </xf>
    <xf numFmtId="0" fontId="41" fillId="11" borderId="27" xfId="8" applyFill="1" applyBorder="1" applyAlignment="1">
      <alignment horizontal="center" vertical="center"/>
    </xf>
    <xf numFmtId="0" fontId="41" fillId="11" borderId="4" xfId="8" applyFill="1" applyBorder="1" applyAlignment="1">
      <alignment horizontal="center" vertical="center"/>
    </xf>
    <xf numFmtId="0" fontId="41" fillId="5" borderId="1" xfId="8" applyFill="1" applyBorder="1" applyAlignment="1">
      <alignment horizontal="center" vertical="center" wrapText="1"/>
    </xf>
    <xf numFmtId="0" fontId="41" fillId="0" borderId="6" xfId="8" applyBorder="1" applyAlignment="1">
      <alignment horizontal="center" vertical="center"/>
    </xf>
    <xf numFmtId="0" fontId="41" fillId="0" borderId="7" xfId="8" applyBorder="1" applyAlignment="1">
      <alignment horizontal="center" vertical="center"/>
    </xf>
    <xf numFmtId="0" fontId="41" fillId="0" borderId="2" xfId="8" applyBorder="1" applyAlignment="1">
      <alignment horizontal="center" vertical="center"/>
    </xf>
    <xf numFmtId="0" fontId="41" fillId="0" borderId="6" xfId="8" applyBorder="1" applyAlignment="1">
      <alignment horizontal="center" vertical="center" shrinkToFit="1"/>
    </xf>
    <xf numFmtId="0" fontId="41" fillId="0" borderId="2" xfId="8" applyBorder="1" applyAlignment="1">
      <alignment horizontal="center" vertical="center" shrinkToFit="1"/>
    </xf>
    <xf numFmtId="0" fontId="41" fillId="0" borderId="28" xfId="8" applyBorder="1" applyAlignment="1">
      <alignment horizontal="center" vertical="center" textRotation="255"/>
    </xf>
    <xf numFmtId="0" fontId="41" fillId="0" borderId="26" xfId="8" applyBorder="1" applyAlignment="1">
      <alignment horizontal="center" vertical="center" textRotation="255"/>
    </xf>
    <xf numFmtId="0" fontId="41" fillId="0" borderId="32" xfId="8" applyBorder="1" applyAlignment="1">
      <alignment horizontal="center" vertical="center" textRotation="255"/>
    </xf>
    <xf numFmtId="0" fontId="41" fillId="0" borderId="1" xfId="8" applyBorder="1" applyAlignment="1">
      <alignment horizontal="center" vertical="center"/>
    </xf>
    <xf numFmtId="0" fontId="41" fillId="0" borderId="3" xfId="8" applyBorder="1" applyAlignment="1">
      <alignment horizontal="center" vertical="center" wrapText="1"/>
    </xf>
    <xf numFmtId="0" fontId="41" fillId="0" borderId="27" xfId="8" applyBorder="1" applyAlignment="1">
      <alignment horizontal="center" vertical="center"/>
    </xf>
    <xf numFmtId="0" fontId="41" fillId="0" borderId="4" xfId="8" applyBorder="1" applyAlignment="1">
      <alignment horizontal="center" vertical="center"/>
    </xf>
    <xf numFmtId="0" fontId="41" fillId="0" borderId="6" xfId="8" applyBorder="1" applyAlignment="1">
      <alignment horizontal="left" vertical="center"/>
    </xf>
    <xf numFmtId="0" fontId="41" fillId="0" borderId="7" xfId="8" applyBorder="1" applyAlignment="1">
      <alignment horizontal="left" vertical="center"/>
    </xf>
    <xf numFmtId="0" fontId="41" fillId="0" borderId="2" xfId="8" applyBorder="1" applyAlignment="1">
      <alignment horizontal="left" vertical="center"/>
    </xf>
    <xf numFmtId="0" fontId="50" fillId="0" borderId="28" xfId="8" applyFont="1" applyBorder="1" applyAlignment="1">
      <alignment horizontal="left" vertical="center" wrapText="1" shrinkToFit="1"/>
    </xf>
    <xf numFmtId="0" fontId="50" fillId="0" borderId="30" xfId="8" applyFont="1" applyBorder="1" applyAlignment="1">
      <alignment horizontal="left" vertical="center" wrapText="1" shrinkToFit="1"/>
    </xf>
    <xf numFmtId="0" fontId="50" fillId="0" borderId="26" xfId="8" applyFont="1" applyBorder="1" applyAlignment="1">
      <alignment horizontal="left" vertical="center" wrapText="1" shrinkToFit="1"/>
    </xf>
    <xf numFmtId="0" fontId="50" fillId="0" borderId="31" xfId="8" applyFont="1" applyBorder="1" applyAlignment="1">
      <alignment horizontal="left" vertical="center" wrapText="1" shrinkToFit="1"/>
    </xf>
    <xf numFmtId="0" fontId="50" fillId="0" borderId="32" xfId="8" applyFont="1" applyBorder="1" applyAlignment="1">
      <alignment horizontal="left" vertical="center" wrapText="1" shrinkToFit="1"/>
    </xf>
    <xf numFmtId="0" fontId="50" fillId="0" borderId="5" xfId="8" applyFont="1" applyBorder="1" applyAlignment="1">
      <alignment horizontal="left" vertical="center" wrapText="1" shrinkToFit="1"/>
    </xf>
    <xf numFmtId="0" fontId="41" fillId="0" borderId="1" xfId="8" applyBorder="1" applyAlignment="1">
      <alignment horizontal="center" vertical="center" wrapText="1"/>
    </xf>
    <xf numFmtId="0" fontId="50" fillId="0" borderId="28" xfId="8" applyFont="1" applyBorder="1" applyAlignment="1">
      <alignment vertical="center" wrapText="1" shrinkToFit="1"/>
    </xf>
    <xf numFmtId="0" fontId="50" fillId="0" borderId="30" xfId="8" applyFont="1" applyBorder="1" applyAlignment="1">
      <alignment vertical="center" wrapText="1" shrinkToFit="1"/>
    </xf>
    <xf numFmtId="0" fontId="50" fillId="0" borderId="32" xfId="8" applyFont="1" applyBorder="1" applyAlignment="1">
      <alignment vertical="center" wrapText="1" shrinkToFit="1"/>
    </xf>
    <xf numFmtId="0" fontId="50" fillId="0" borderId="5" xfId="8" applyFont="1" applyBorder="1" applyAlignment="1">
      <alignment vertical="center" wrapText="1" shrinkToFit="1"/>
    </xf>
    <xf numFmtId="0" fontId="50" fillId="0" borderId="6" xfId="8" applyFont="1" applyBorder="1" applyAlignment="1">
      <alignment horizontal="center" vertical="center" shrinkToFit="1"/>
    </xf>
    <xf numFmtId="0" fontId="50" fillId="0" borderId="2" xfId="8" applyFont="1" applyBorder="1" applyAlignment="1">
      <alignment horizontal="center" vertical="center" shrinkToFit="1"/>
    </xf>
    <xf numFmtId="0" fontId="41" fillId="0" borderId="28" xfId="8" applyBorder="1" applyAlignment="1">
      <alignment horizontal="center" vertical="center"/>
    </xf>
    <xf numFmtId="0" fontId="41" fillId="0" borderId="26" xfId="8" applyBorder="1" applyAlignment="1">
      <alignment horizontal="center" vertical="center"/>
    </xf>
    <xf numFmtId="0" fontId="41" fillId="0" borderId="32" xfId="8" applyBorder="1" applyAlignment="1">
      <alignment horizontal="center" vertical="center"/>
    </xf>
    <xf numFmtId="0" fontId="41" fillId="0" borderId="1" xfId="8" applyBorder="1" applyAlignment="1">
      <alignment horizontal="center" vertical="center" textRotation="255"/>
    </xf>
    <xf numFmtId="0" fontId="41" fillId="0" borderId="28" xfId="8" applyBorder="1" applyAlignment="1">
      <alignment horizontal="center" vertical="center" wrapText="1"/>
    </xf>
    <xf numFmtId="0" fontId="41" fillId="0" borderId="30" xfId="8" applyBorder="1" applyAlignment="1">
      <alignment horizontal="center" vertical="center"/>
    </xf>
    <xf numFmtId="0" fontId="41" fillId="0" borderId="31" xfId="8" applyBorder="1" applyAlignment="1">
      <alignment horizontal="center" vertical="center"/>
    </xf>
    <xf numFmtId="0" fontId="41" fillId="0" borderId="5" xfId="8" applyBorder="1" applyAlignment="1">
      <alignment horizontal="center" vertical="center"/>
    </xf>
    <xf numFmtId="0" fontId="41" fillId="0" borderId="1" xfId="8" applyBorder="1" applyAlignment="1">
      <alignment horizontal="center" vertical="center" shrinkToFit="1"/>
    </xf>
    <xf numFmtId="0" fontId="41" fillId="0" borderId="1" xfId="8" applyBorder="1" applyAlignment="1">
      <alignment horizontal="left" vertical="center"/>
    </xf>
    <xf numFmtId="0" fontId="50" fillId="0" borderId="26" xfId="8" applyFont="1" applyBorder="1" applyAlignment="1">
      <alignment vertical="center" wrapText="1" shrinkToFit="1"/>
    </xf>
    <xf numFmtId="0" fontId="50" fillId="0" borderId="31" xfId="8" applyFont="1" applyBorder="1" applyAlignment="1">
      <alignment vertical="center" wrapText="1" shrinkToFit="1"/>
    </xf>
    <xf numFmtId="189" fontId="41" fillId="0" borderId="1" xfId="8" applyNumberFormat="1" applyBorder="1">
      <alignment vertical="center"/>
    </xf>
    <xf numFmtId="0" fontId="50" fillId="0" borderId="1" xfId="8" applyFont="1" applyBorder="1" applyAlignment="1">
      <alignment horizontal="left" vertical="center" shrinkToFit="1"/>
    </xf>
    <xf numFmtId="0" fontId="41" fillId="0" borderId="29" xfId="8" applyBorder="1" applyAlignment="1">
      <alignment horizontal="center" vertical="center"/>
    </xf>
    <xf numFmtId="0" fontId="41" fillId="0" borderId="8" xfId="8" applyBorder="1" applyAlignment="1">
      <alignment horizontal="center" vertical="center"/>
    </xf>
    <xf numFmtId="0" fontId="51" fillId="0" borderId="28" xfId="8" applyFont="1" applyBorder="1" applyAlignment="1">
      <alignment horizontal="left" vertical="center" wrapText="1"/>
    </xf>
    <xf numFmtId="0" fontId="51" fillId="0" borderId="29" xfId="8" applyFont="1" applyBorder="1" applyAlignment="1">
      <alignment horizontal="left" vertical="center"/>
    </xf>
    <xf numFmtId="0" fontId="51" fillId="0" borderId="30" xfId="8" applyFont="1" applyBorder="1" applyAlignment="1">
      <alignment horizontal="left" vertical="center"/>
    </xf>
    <xf numFmtId="0" fontId="51" fillId="0" borderId="32" xfId="8" applyFont="1" applyBorder="1" applyAlignment="1">
      <alignment horizontal="left" vertical="center"/>
    </xf>
    <xf numFmtId="0" fontId="51" fillId="0" borderId="8" xfId="8" applyFont="1" applyBorder="1" applyAlignment="1">
      <alignment horizontal="left" vertical="center"/>
    </xf>
    <xf numFmtId="0" fontId="51" fillId="0" borderId="5" xfId="8" applyFont="1" applyBorder="1" applyAlignment="1">
      <alignment horizontal="left" vertical="center"/>
    </xf>
    <xf numFmtId="189" fontId="41" fillId="0" borderId="3" xfId="8" applyNumberFormat="1" applyBorder="1">
      <alignment vertical="center"/>
    </xf>
    <xf numFmtId="189" fontId="41" fillId="0" borderId="4" xfId="8" applyNumberFormat="1" applyBorder="1">
      <alignment vertical="center"/>
    </xf>
    <xf numFmtId="0" fontId="50" fillId="0" borderId="28" xfId="8" applyFont="1" applyBorder="1" applyAlignment="1">
      <alignment vertical="center" shrinkToFit="1"/>
    </xf>
    <xf numFmtId="0" fontId="50" fillId="0" borderId="30" xfId="8" applyFont="1" applyBorder="1" applyAlignment="1">
      <alignment vertical="center" shrinkToFit="1"/>
    </xf>
    <xf numFmtId="0" fontId="50" fillId="0" borderId="32" xfId="8" applyFont="1" applyBorder="1" applyAlignment="1">
      <alignment vertical="center" shrinkToFit="1"/>
    </xf>
    <xf numFmtId="0" fontId="50" fillId="0" borderId="5" xfId="8" applyFont="1" applyBorder="1" applyAlignment="1">
      <alignment vertical="center" shrinkToFit="1"/>
    </xf>
    <xf numFmtId="0" fontId="41" fillId="0" borderId="28" xfId="8" applyBorder="1" applyAlignment="1">
      <alignment horizontal="left" vertical="center" wrapText="1"/>
    </xf>
    <xf numFmtId="0" fontId="41" fillId="0" borderId="29" xfId="8" applyBorder="1" applyAlignment="1">
      <alignment horizontal="left" vertical="center" wrapText="1"/>
    </xf>
    <xf numFmtId="0" fontId="41" fillId="0" borderId="30" xfId="8" applyBorder="1" applyAlignment="1">
      <alignment horizontal="left" vertical="center" wrapText="1"/>
    </xf>
    <xf numFmtId="0" fontId="41" fillId="0" borderId="26" xfId="8" applyBorder="1" applyAlignment="1">
      <alignment horizontal="left" vertical="center" wrapText="1"/>
    </xf>
    <xf numFmtId="0" fontId="41" fillId="0" borderId="0" xfId="8" applyAlignment="1">
      <alignment horizontal="left" vertical="center" wrapText="1"/>
    </xf>
    <xf numFmtId="0" fontId="41" fillId="0" borderId="31" xfId="8" applyBorder="1" applyAlignment="1">
      <alignment horizontal="left" vertical="center" wrapText="1"/>
    </xf>
    <xf numFmtId="0" fontId="41" fillId="0" borderId="32" xfId="8" applyBorder="1" applyAlignment="1">
      <alignment horizontal="left" vertical="center" wrapText="1"/>
    </xf>
    <xf numFmtId="0" fontId="41" fillId="0" borderId="8" xfId="8" applyBorder="1" applyAlignment="1">
      <alignment horizontal="left" vertical="center" wrapText="1"/>
    </xf>
    <xf numFmtId="0" fontId="41" fillId="0" borderId="5" xfId="8" applyBorder="1" applyAlignment="1">
      <alignment horizontal="left" vertical="center" wrapText="1"/>
    </xf>
    <xf numFmtId="0" fontId="41" fillId="0" borderId="1" xfId="8" applyBorder="1" applyAlignment="1">
      <alignment horizontal="left" vertical="center" shrinkToFit="1"/>
    </xf>
    <xf numFmtId="0" fontId="50" fillId="0" borderId="1" xfId="8" applyFont="1" applyBorder="1" applyAlignment="1">
      <alignment vertical="center" wrapText="1" shrinkToFit="1"/>
    </xf>
    <xf numFmtId="0" fontId="50" fillId="0" borderId="1" xfId="8" applyFont="1" applyBorder="1" applyAlignment="1">
      <alignment vertical="center" shrinkToFit="1"/>
    </xf>
    <xf numFmtId="0" fontId="45" fillId="0" borderId="28" xfId="8" applyFont="1" applyBorder="1" applyAlignment="1">
      <alignment horizontal="left" vertical="center" wrapText="1"/>
    </xf>
    <xf numFmtId="0" fontId="45" fillId="0" borderId="29" xfId="8" applyFont="1" applyBorder="1" applyAlignment="1">
      <alignment horizontal="left" vertical="center" wrapText="1"/>
    </xf>
    <xf numFmtId="0" fontId="45" fillId="0" borderId="30" xfId="8" applyFont="1" applyBorder="1" applyAlignment="1">
      <alignment horizontal="left" vertical="center" wrapText="1"/>
    </xf>
    <xf numFmtId="0" fontId="45" fillId="0" borderId="32" xfId="8" applyFont="1" applyBorder="1" applyAlignment="1">
      <alignment horizontal="left" vertical="center" wrapText="1"/>
    </xf>
    <xf numFmtId="0" fontId="45" fillId="0" borderId="8" xfId="8" applyFont="1" applyBorder="1" applyAlignment="1">
      <alignment horizontal="left" vertical="center" wrapText="1"/>
    </xf>
    <xf numFmtId="0" fontId="45" fillId="0" borderId="5" xfId="8" applyFont="1" applyBorder="1" applyAlignment="1">
      <alignment horizontal="left" vertical="center" wrapText="1"/>
    </xf>
    <xf numFmtId="0" fontId="41" fillId="0" borderId="3" xfId="8" applyBorder="1" applyAlignment="1">
      <alignment horizontal="center" vertical="center" textRotation="255"/>
    </xf>
    <xf numFmtId="0" fontId="41" fillId="0" borderId="27" xfId="8" applyBorder="1" applyAlignment="1">
      <alignment horizontal="center" vertical="center" textRotation="255"/>
    </xf>
    <xf numFmtId="0" fontId="41" fillId="0" borderId="4" xfId="8" applyBorder="1" applyAlignment="1">
      <alignment horizontal="center" vertical="center" textRotation="255"/>
    </xf>
    <xf numFmtId="0" fontId="41" fillId="0" borderId="3" xfId="8" applyBorder="1" applyAlignment="1">
      <alignment horizontal="center" vertical="center"/>
    </xf>
    <xf numFmtId="0" fontId="41" fillId="0" borderId="29" xfId="8" applyBorder="1" applyAlignment="1">
      <alignment horizontal="left" vertical="center"/>
    </xf>
    <xf numFmtId="0" fontId="41" fillId="0" borderId="30" xfId="8" applyBorder="1" applyAlignment="1">
      <alignment horizontal="left" vertical="center"/>
    </xf>
    <xf numFmtId="0" fontId="41" fillId="0" borderId="32" xfId="8" applyBorder="1" applyAlignment="1">
      <alignment horizontal="left" vertical="center"/>
    </xf>
    <xf numFmtId="0" fontId="41" fillId="0" borderId="8" xfId="8" applyBorder="1" applyAlignment="1">
      <alignment horizontal="left" vertical="center"/>
    </xf>
    <xf numFmtId="0" fontId="41" fillId="0" borderId="5" xfId="8" applyBorder="1" applyAlignment="1">
      <alignment horizontal="left" vertical="center"/>
    </xf>
    <xf numFmtId="3" fontId="41" fillId="0" borderId="3" xfId="8" applyNumberFormat="1" applyBorder="1">
      <alignment vertical="center"/>
    </xf>
    <xf numFmtId="3" fontId="41" fillId="0" borderId="4" xfId="8" applyNumberFormat="1" applyBorder="1">
      <alignment vertical="center"/>
    </xf>
    <xf numFmtId="0" fontId="50" fillId="0" borderId="28" xfId="8" applyFont="1" applyBorder="1" applyAlignment="1">
      <alignment horizontal="center" vertical="center" shrinkToFit="1"/>
    </xf>
    <xf numFmtId="0" fontId="50" fillId="0" borderId="30" xfId="8" applyFont="1" applyBorder="1" applyAlignment="1">
      <alignment horizontal="center" vertical="center" shrinkToFit="1"/>
    </xf>
    <xf numFmtId="0" fontId="50" fillId="0" borderId="32" xfId="8" applyFont="1" applyBorder="1" applyAlignment="1">
      <alignment horizontal="center" vertical="center" shrinkToFit="1"/>
    </xf>
    <xf numFmtId="0" fontId="50" fillId="0" borderId="5" xfId="8" applyFont="1" applyBorder="1" applyAlignment="1">
      <alignment horizontal="center" vertical="center" shrinkToFit="1"/>
    </xf>
    <xf numFmtId="0" fontId="41" fillId="0" borderId="30" xfId="8" applyBorder="1" applyAlignment="1">
      <alignment horizontal="center" vertical="center" wrapText="1"/>
    </xf>
    <xf numFmtId="0" fontId="41" fillId="0" borderId="26" xfId="8" applyBorder="1" applyAlignment="1">
      <alignment horizontal="center" vertical="center" wrapText="1"/>
    </xf>
    <xf numFmtId="0" fontId="41" fillId="0" borderId="31" xfId="8" applyBorder="1" applyAlignment="1">
      <alignment horizontal="center" vertical="center" wrapText="1"/>
    </xf>
    <xf numFmtId="0" fontId="41" fillId="0" borderId="32" xfId="8" applyBorder="1" applyAlignment="1">
      <alignment horizontal="center" vertical="center" wrapText="1"/>
    </xf>
    <xf numFmtId="0" fontId="41" fillId="0" borderId="5" xfId="8" applyBorder="1" applyAlignment="1">
      <alignment horizontal="center" vertical="center" wrapText="1"/>
    </xf>
    <xf numFmtId="0" fontId="41" fillId="0" borderId="28" xfId="8" applyBorder="1" applyAlignment="1">
      <alignment vertical="center" wrapText="1" shrinkToFit="1"/>
    </xf>
    <xf numFmtId="0" fontId="41" fillId="0" borderId="29" xfId="8" applyBorder="1" applyAlignment="1">
      <alignment vertical="center" shrinkToFit="1"/>
    </xf>
    <xf numFmtId="0" fontId="41" fillId="0" borderId="30" xfId="8" applyBorder="1" applyAlignment="1">
      <alignment vertical="center" shrinkToFit="1"/>
    </xf>
    <xf numFmtId="0" fontId="41" fillId="0" borderId="26" xfId="8" applyBorder="1" applyAlignment="1">
      <alignment vertical="center" shrinkToFit="1"/>
    </xf>
    <xf numFmtId="0" fontId="41" fillId="0" borderId="0" xfId="8" applyAlignment="1">
      <alignment vertical="center" shrinkToFit="1"/>
    </xf>
    <xf numFmtId="0" fontId="41" fillId="0" borderId="31" xfId="8" applyBorder="1" applyAlignment="1">
      <alignment vertical="center" shrinkToFit="1"/>
    </xf>
    <xf numFmtId="0" fontId="41" fillId="0" borderId="32" xfId="8" applyBorder="1" applyAlignment="1">
      <alignment vertical="center" shrinkToFit="1"/>
    </xf>
    <xf numFmtId="0" fontId="41" fillId="0" borderId="8" xfId="8" applyBorder="1" applyAlignment="1">
      <alignment vertical="center" shrinkToFit="1"/>
    </xf>
    <xf numFmtId="0" fontId="41" fillId="0" borderId="5" xfId="8" applyBorder="1" applyAlignment="1">
      <alignment vertical="center" shrinkToFit="1"/>
    </xf>
    <xf numFmtId="0" fontId="41" fillId="0" borderId="28" xfId="8" applyBorder="1" applyAlignment="1">
      <alignment vertical="center" wrapText="1"/>
    </xf>
    <xf numFmtId="0" fontId="41" fillId="0" borderId="29" xfId="8" applyBorder="1">
      <alignment vertical="center"/>
    </xf>
    <xf numFmtId="0" fontId="41" fillId="0" borderId="30" xfId="8" applyBorder="1">
      <alignment vertical="center"/>
    </xf>
    <xf numFmtId="0" fontId="41" fillId="0" borderId="32" xfId="8" applyBorder="1">
      <alignment vertical="center"/>
    </xf>
    <xf numFmtId="0" fontId="41" fillId="0" borderId="8" xfId="8" applyBorder="1">
      <alignment vertical="center"/>
    </xf>
    <xf numFmtId="0" fontId="41" fillId="0" borderId="5" xfId="8" applyBorder="1">
      <alignment vertical="center"/>
    </xf>
    <xf numFmtId="0" fontId="41" fillId="0" borderId="1" xfId="8" applyBorder="1" applyAlignment="1">
      <alignment vertical="center" shrinkToFit="1"/>
    </xf>
    <xf numFmtId="0" fontId="41" fillId="0" borderId="4" xfId="8" applyBorder="1" applyAlignment="1">
      <alignment horizontal="center" vertical="center" wrapText="1"/>
    </xf>
    <xf numFmtId="0" fontId="5" fillId="5" borderId="1" xfId="0" applyFont="1" applyFill="1" applyBorder="1" applyAlignment="1">
      <alignment horizontal="center" vertical="center" wrapText="1"/>
    </xf>
    <xf numFmtId="0" fontId="5" fillId="5" borderId="1" xfId="0" applyFont="1" applyFill="1" applyBorder="1" applyAlignment="1">
      <alignment horizontal="center" vertical="center" shrinkToFit="1"/>
    </xf>
    <xf numFmtId="0" fontId="5" fillId="5" borderId="1" xfId="0" applyFont="1" applyFill="1" applyBorder="1" applyAlignment="1">
      <alignment horizontal="center" vertical="center"/>
    </xf>
    <xf numFmtId="0" fontId="6" fillId="0" borderId="0" xfId="0" applyFont="1" applyAlignment="1">
      <alignment horizontal="left" vertical="center" wrapText="1"/>
    </xf>
    <xf numFmtId="0" fontId="57" fillId="5" borderId="1" xfId="0" applyFont="1" applyFill="1" applyBorder="1" applyAlignment="1">
      <alignment horizontal="center" vertical="center"/>
    </xf>
    <xf numFmtId="0" fontId="5" fillId="9" borderId="1" xfId="0" applyFont="1" applyFill="1" applyBorder="1" applyAlignment="1">
      <alignment horizontal="center" vertical="center" wrapText="1"/>
    </xf>
  </cellXfs>
  <cellStyles count="10">
    <cellStyle name="パーセント" xfId="3" builtinId="5"/>
    <cellStyle name="パーセント 2" xfId="7" xr:uid="{B026AC6A-0C10-4DD3-A251-6ED3DBA882FF}"/>
    <cellStyle name="ハイパーリンク" xfId="2" builtinId="8"/>
    <cellStyle name="桁区切り" xfId="1" builtinId="6"/>
    <cellStyle name="桁区切り 2" xfId="6" xr:uid="{6ACB5211-24A8-4D72-926F-503159D4E6DA}"/>
    <cellStyle name="桁区切り 3" xfId="9" xr:uid="{A107E39B-E96C-4494-86E1-AF2C0FCB089B}"/>
    <cellStyle name="標準" xfId="0" builtinId="0"/>
    <cellStyle name="標準 2" xfId="4" xr:uid="{0401D4CB-901E-4E39-99C6-1776EEF582DD}"/>
    <cellStyle name="標準 3" xfId="5" xr:uid="{B2575FB9-BB66-42D9-BE40-2A9BB77CD9B3}"/>
    <cellStyle name="標準 4" xfId="8" xr:uid="{8B66CFDE-04CC-4FC9-9B52-8CE21028513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2"/>
            </a:solidFill>
            <a:ln>
              <a:noFill/>
            </a:ln>
            <a:effectLst/>
          </c:spPr>
          <c:invertIfNegative val="0"/>
          <c:dLbls>
            <c:numFmt formatCode="#,##0_ "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('2030年目標設定'!$B$45,'2030年目標設定'!$B$47)</c:f>
              <c:strCache>
                <c:ptCount val="2"/>
                <c:pt idx="0">
                  <c:v>2018年実績値</c:v>
                </c:pt>
                <c:pt idx="1">
                  <c:v>2030年目標値(目安)</c:v>
                </c:pt>
              </c:strCache>
            </c:strRef>
          </c:cat>
          <c:val>
            <c:numRef>
              <c:f>('2030年目標設定'!$C$45,'2030年目標設定'!$C$47)</c:f>
              <c:numCache>
                <c:formatCode>#,##0_);[Red]\(#,##0\)</c:formatCode>
                <c:ptCount val="2"/>
                <c:pt idx="0">
                  <c:v>0</c:v>
                </c:pt>
                <c:pt idx="1">
                  <c:v>0</c:v>
                </c:pt>
              </c:numCache>
            </c:numRef>
          </c:val>
          <c:extLst>
            <c:ext xmlns:c16="http://schemas.microsoft.com/office/drawing/2014/chart" uri="{C3380CC4-5D6E-409C-BE32-E72D297353CC}">
              <c16:uniqueId val="{00000000-B026-4C08-BE5A-ED780CD24940}"/>
            </c:ext>
          </c:extLst>
        </c:ser>
        <c:dLbls>
          <c:dLblPos val="ctr"/>
          <c:showLegendKey val="0"/>
          <c:showVal val="1"/>
          <c:showCatName val="0"/>
          <c:showSerName val="0"/>
          <c:showPercent val="0"/>
          <c:showBubbleSize val="0"/>
        </c:dLbls>
        <c:gapWidth val="219"/>
        <c:overlap val="-27"/>
        <c:axId val="586063112"/>
        <c:axId val="586063440"/>
      </c:barChart>
      <c:catAx>
        <c:axId val="586063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ja-JP"/>
          </a:p>
        </c:txPr>
        <c:crossAx val="586063440"/>
        <c:crosses val="autoZero"/>
        <c:auto val="1"/>
        <c:lblAlgn val="ctr"/>
        <c:lblOffset val="100"/>
        <c:noMultiLvlLbl val="0"/>
      </c:catAx>
      <c:valAx>
        <c:axId val="5860634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1" i="0" u="none" strike="noStrike" kern="1200" baseline="0">
                    <a:solidFill>
                      <a:schemeClr val="tx1"/>
                    </a:solidFill>
                    <a:latin typeface="+mn-lt"/>
                    <a:ea typeface="+mn-ea"/>
                    <a:cs typeface="+mn-cs"/>
                  </a:defRPr>
                </a:pPr>
                <a:r>
                  <a:rPr lang="ja-JP" altLang="en-US"/>
                  <a:t>温室効果ガス排出量</a:t>
                </a:r>
                <a:endParaRPr lang="en-US" altLang="ja-JP"/>
              </a:p>
              <a:p>
                <a:pPr>
                  <a:defRPr/>
                </a:pPr>
                <a:r>
                  <a:rPr lang="en-US" altLang="ja-JP"/>
                  <a:t>(t-CO</a:t>
                </a:r>
                <a:r>
                  <a:rPr lang="ja-JP" altLang="en-US"/>
                  <a:t>₂</a:t>
                </a:r>
                <a:r>
                  <a:rPr lang="en-US" altLang="ja-JP"/>
                  <a:t>/</a:t>
                </a:r>
                <a:r>
                  <a:rPr lang="ja-JP" altLang="en-US"/>
                  <a:t>年</a:t>
                </a:r>
                <a:r>
                  <a:rPr lang="en-US" altLang="ja-JP"/>
                  <a:t>)</a:t>
                </a:r>
                <a:endParaRPr lang="ja-JP" altLang="en-US"/>
              </a:p>
            </c:rich>
          </c:tx>
          <c:overlay val="0"/>
          <c:spPr>
            <a:noFill/>
            <a:ln>
              <a:noFill/>
            </a:ln>
            <a:effectLst/>
          </c:spPr>
          <c:txPr>
            <a:bodyPr rot="-540000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ja-JP"/>
            </a:p>
          </c:txPr>
        </c:title>
        <c:numFmt formatCode="#,##0_ "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ja-JP"/>
          </a:p>
        </c:txPr>
        <c:crossAx val="5860631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b="1">
          <a:solidFill>
            <a:schemeClr val="tx1"/>
          </a:solidFill>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ja-JP"/>
        </a:p>
      </c:txPr>
    </c:title>
    <c:autoTitleDeleted val="0"/>
    <c:plotArea>
      <c:layout/>
      <c:barChart>
        <c:barDir val="col"/>
        <c:grouping val="clustered"/>
        <c:varyColors val="0"/>
        <c:ser>
          <c:idx val="0"/>
          <c:order val="0"/>
          <c:tx>
            <c:strRef>
              <c:f>'2018年平均値'!$C$12</c:f>
              <c:strCache>
                <c:ptCount val="1"/>
                <c:pt idx="0">
                  <c:v>処理水量当たりの
温室効果ガス排出量
(t-CO₂/千m³)</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'2018年平均値'!$B$13:$B$14</c:f>
              <c:strCache>
                <c:ptCount val="2"/>
                <c:pt idx="0">
                  <c:v>2018年実績値</c:v>
                </c:pt>
                <c:pt idx="1">
                  <c:v>2018年標準値</c:v>
                </c:pt>
              </c:strCache>
            </c:strRef>
          </c:cat>
          <c:val>
            <c:numRef>
              <c:f>'2018年平均値'!$C$13:$C$14</c:f>
              <c:numCache>
                <c:formatCode>0.00</c:formatCode>
                <c:ptCount val="2"/>
                <c:pt idx="0">
                  <c:v>0</c:v>
                </c:pt>
                <c:pt idx="1">
                  <c:v>#N/A</c:v>
                </c:pt>
              </c:numCache>
            </c:numRef>
          </c:val>
          <c:extLst>
            <c:ext xmlns:c16="http://schemas.microsoft.com/office/drawing/2014/chart" uri="{C3380CC4-5D6E-409C-BE32-E72D297353CC}">
              <c16:uniqueId val="{00000000-2C35-4823-B7B2-B16D330063A1}"/>
            </c:ext>
          </c:extLst>
        </c:ser>
        <c:dLbls>
          <c:dLblPos val="ctr"/>
          <c:showLegendKey val="0"/>
          <c:showVal val="1"/>
          <c:showCatName val="0"/>
          <c:showSerName val="0"/>
          <c:showPercent val="0"/>
          <c:showBubbleSize val="0"/>
        </c:dLbls>
        <c:gapWidth val="219"/>
        <c:overlap val="-27"/>
        <c:axId val="656434912"/>
        <c:axId val="656431960"/>
      </c:barChart>
      <c:catAx>
        <c:axId val="656434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ja-JP"/>
          </a:p>
        </c:txPr>
        <c:crossAx val="656431960"/>
        <c:crosses val="autoZero"/>
        <c:auto val="1"/>
        <c:lblAlgn val="ctr"/>
        <c:lblOffset val="100"/>
        <c:noMultiLvlLbl val="0"/>
      </c:catAx>
      <c:valAx>
        <c:axId val="65643196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ja-JP"/>
          </a:p>
        </c:txPr>
        <c:crossAx val="6564349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ja-JP"/>
        </a:p>
      </c:txPr>
    </c:title>
    <c:autoTitleDeleted val="0"/>
    <c:plotArea>
      <c:layout/>
      <c:barChart>
        <c:barDir val="col"/>
        <c:grouping val="clustered"/>
        <c:varyColors val="0"/>
        <c:ser>
          <c:idx val="0"/>
          <c:order val="0"/>
          <c:tx>
            <c:strRef>
              <c:f>'2018年平均値'!$E$12</c:f>
              <c:strCache>
                <c:ptCount val="1"/>
                <c:pt idx="0">
                  <c:v>温室効果ガス排出量
(t-CO₂/年)</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'2018年平均値'!$B$13:$B$14</c:f>
              <c:strCache>
                <c:ptCount val="2"/>
                <c:pt idx="0">
                  <c:v>2018年実績値</c:v>
                </c:pt>
                <c:pt idx="1">
                  <c:v>2018年標準値</c:v>
                </c:pt>
              </c:strCache>
            </c:strRef>
          </c:cat>
          <c:val>
            <c:numRef>
              <c:f>'2018年平均値'!$E$13:$E$14</c:f>
              <c:numCache>
                <c:formatCode>#,##0_);[Red]\(#,##0\)</c:formatCode>
                <c:ptCount val="2"/>
                <c:pt idx="0">
                  <c:v>0</c:v>
                </c:pt>
                <c:pt idx="1">
                  <c:v>#N/A</c:v>
                </c:pt>
              </c:numCache>
            </c:numRef>
          </c:val>
          <c:extLst>
            <c:ext xmlns:c16="http://schemas.microsoft.com/office/drawing/2014/chart" uri="{C3380CC4-5D6E-409C-BE32-E72D297353CC}">
              <c16:uniqueId val="{00000000-83F9-4DD8-B020-FC91FBA2A690}"/>
            </c:ext>
          </c:extLst>
        </c:ser>
        <c:dLbls>
          <c:dLblPos val="ctr"/>
          <c:showLegendKey val="0"/>
          <c:showVal val="1"/>
          <c:showCatName val="0"/>
          <c:showSerName val="0"/>
          <c:showPercent val="0"/>
          <c:showBubbleSize val="0"/>
        </c:dLbls>
        <c:gapWidth val="219"/>
        <c:overlap val="-27"/>
        <c:axId val="656434912"/>
        <c:axId val="656431960"/>
      </c:barChart>
      <c:catAx>
        <c:axId val="656434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ja-JP"/>
          </a:p>
        </c:txPr>
        <c:crossAx val="656431960"/>
        <c:crosses val="autoZero"/>
        <c:auto val="1"/>
        <c:lblAlgn val="ctr"/>
        <c:lblOffset val="100"/>
        <c:noMultiLvlLbl val="0"/>
      </c:catAx>
      <c:valAx>
        <c:axId val="656431960"/>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ja-JP"/>
          </a:p>
        </c:txPr>
        <c:crossAx val="6564349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対策後の結果の出力!$C$5</c:f>
              <c:strCache>
                <c:ptCount val="1"/>
                <c:pt idx="0">
                  <c:v>温室効果ガス排出量
(t-CO₂/年)</c:v>
                </c:pt>
              </c:strCache>
            </c:strRef>
          </c:tx>
          <c:spPr>
            <a:solidFill>
              <a:schemeClr val="accent2"/>
            </a:solidFill>
            <a:ln>
              <a:noFill/>
            </a:ln>
            <a:effectLst/>
          </c:spPr>
          <c:invertIfNegative val="0"/>
          <c:cat>
            <c:strRef>
              <c:f>対策後の結果の出力!$D$4:$G$4</c:f>
              <c:strCache>
                <c:ptCount val="4"/>
                <c:pt idx="0">
                  <c:v>現状の排出量
(2018年実績)</c:v>
                </c:pt>
                <c:pt idx="1">
                  <c:v>2018年
平均値</c:v>
                </c:pt>
                <c:pt idx="2">
                  <c:v>2030年
目標値(目安)</c:v>
                </c:pt>
                <c:pt idx="3">
                  <c:v>対策後の排出量</c:v>
                </c:pt>
              </c:strCache>
            </c:strRef>
          </c:cat>
          <c:val>
            <c:numRef>
              <c:f>対策後の結果の出力!$D$5:$G$5</c:f>
              <c:numCache>
                <c:formatCode>#,##0_);[Red]\(#,##0\)</c:formatCode>
                <c:ptCount val="4"/>
                <c:pt idx="0">
                  <c:v>0</c:v>
                </c:pt>
                <c:pt idx="1">
                  <c:v>#N/A</c:v>
                </c:pt>
                <c:pt idx="2">
                  <c:v>0</c:v>
                </c:pt>
                <c:pt idx="3">
                  <c:v>0</c:v>
                </c:pt>
              </c:numCache>
            </c:numRef>
          </c:val>
          <c:extLst>
            <c:ext xmlns:c16="http://schemas.microsoft.com/office/drawing/2014/chart" uri="{C3380CC4-5D6E-409C-BE32-E72D297353CC}">
              <c16:uniqueId val="{00000000-857C-4402-9902-C9D8F71E81FF}"/>
            </c:ext>
          </c:extLst>
        </c:ser>
        <c:dLbls>
          <c:showLegendKey val="0"/>
          <c:showVal val="0"/>
          <c:showCatName val="0"/>
          <c:showSerName val="0"/>
          <c:showPercent val="0"/>
          <c:showBubbleSize val="0"/>
        </c:dLbls>
        <c:gapWidth val="219"/>
        <c:overlap val="-27"/>
        <c:axId val="576879224"/>
        <c:axId val="576880208"/>
      </c:barChart>
      <c:catAx>
        <c:axId val="576879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ja-JP"/>
          </a:p>
        </c:txPr>
        <c:crossAx val="576880208"/>
        <c:crosses val="autoZero"/>
        <c:auto val="1"/>
        <c:lblAlgn val="ctr"/>
        <c:lblOffset val="100"/>
        <c:noMultiLvlLbl val="0"/>
      </c:catAx>
      <c:valAx>
        <c:axId val="5768802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ja-JP" altLang="en-US"/>
                  <a:t>温室効果ガス排出量</a:t>
                </a:r>
                <a:endParaRPr lang="en-US" altLang="ja-JP"/>
              </a:p>
              <a:p>
                <a:pPr>
                  <a:defRPr/>
                </a:pPr>
                <a:r>
                  <a:rPr lang="en-US" altLang="ja-JP"/>
                  <a:t>(t-CO</a:t>
                </a:r>
                <a:r>
                  <a:rPr lang="ja-JP" altLang="en-US"/>
                  <a:t>₂</a:t>
                </a:r>
                <a:r>
                  <a:rPr lang="en-US" altLang="ja-JP"/>
                  <a:t>/</a:t>
                </a:r>
                <a:r>
                  <a:rPr lang="ja-JP" altLang="en-US"/>
                  <a:t>年</a:t>
                </a:r>
                <a:r>
                  <a:rPr lang="en-US" altLang="ja-JP"/>
                  <a:t>)</a:t>
                </a:r>
                <a:endParaRPr lang="ja-JP" altLang="en-US"/>
              </a:p>
            </c:rich>
          </c:tx>
          <c:overlay val="0"/>
          <c:spPr>
            <a:noFill/>
            <a:ln>
              <a:noFill/>
            </a:ln>
            <a:effectLst/>
          </c:spPr>
          <c:txPr>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ja-JP"/>
            </a:p>
          </c:txPr>
        </c:title>
        <c:numFmt formatCode="#,##0_ " sourceLinked="0"/>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ja-JP"/>
          </a:p>
        </c:txPr>
        <c:crossAx val="5768792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b="1">
          <a:solidFill>
            <a:sysClr val="windowText" lastClr="000000"/>
          </a:solidFill>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5" Type="http://schemas.openxmlformats.org/officeDocument/2006/relationships/image" Target="../media/image18.png"/><Relationship Id="rId4" Type="http://schemas.openxmlformats.org/officeDocument/2006/relationships/image" Target="../media/image17.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 Id="rId6" Type="http://schemas.openxmlformats.org/officeDocument/2006/relationships/image" Target="../media/image28.png"/><Relationship Id="rId5" Type="http://schemas.openxmlformats.org/officeDocument/2006/relationships/image" Target="../media/image27.png"/><Relationship Id="rId4" Type="http://schemas.openxmlformats.org/officeDocument/2006/relationships/image" Target="../media/image2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9.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0.png"/></Relationships>
</file>

<file path=xl/drawings/_rels/drawing19.xml.rels><?xml version="1.0" encoding="UTF-8" standalone="yes"?>
<Relationships xmlns="http://schemas.openxmlformats.org/package/2006/relationships"><Relationship Id="rId1" Type="http://schemas.openxmlformats.org/officeDocument/2006/relationships/image" Target="../media/image3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20.xml.rels><?xml version="1.0" encoding="UTF-8" standalone="yes"?>
<Relationships xmlns="http://schemas.openxmlformats.org/package/2006/relationships"><Relationship Id="rId1" Type="http://schemas.openxmlformats.org/officeDocument/2006/relationships/image" Target="../media/image32.png"/></Relationships>
</file>

<file path=xl/drawings/_rels/drawing21.xml.rels><?xml version="1.0" encoding="UTF-8" standalone="yes"?>
<Relationships xmlns="http://schemas.openxmlformats.org/package/2006/relationships"><Relationship Id="rId2" Type="http://schemas.openxmlformats.org/officeDocument/2006/relationships/image" Target="../media/image34.png"/><Relationship Id="rId1" Type="http://schemas.openxmlformats.org/officeDocument/2006/relationships/image" Target="../media/image33.png"/></Relationships>
</file>

<file path=xl/drawings/_rels/drawing22.xml.rels><?xml version="1.0" encoding="UTF-8" standalone="yes"?>
<Relationships xmlns="http://schemas.openxmlformats.org/package/2006/relationships"><Relationship Id="rId3" Type="http://schemas.openxmlformats.org/officeDocument/2006/relationships/image" Target="../media/image37.png"/><Relationship Id="rId2" Type="http://schemas.openxmlformats.org/officeDocument/2006/relationships/image" Target="../media/image36.png"/><Relationship Id="rId1" Type="http://schemas.openxmlformats.org/officeDocument/2006/relationships/image" Target="../media/image35.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13</xdr:col>
      <xdr:colOff>33617</xdr:colOff>
      <xdr:row>6</xdr:row>
      <xdr:rowOff>212911</xdr:rowOff>
    </xdr:from>
    <xdr:to>
      <xdr:col>27</xdr:col>
      <xdr:colOff>336303</xdr:colOff>
      <xdr:row>15</xdr:row>
      <xdr:rowOff>363300</xdr:rowOff>
    </xdr:to>
    <xdr:pic>
      <xdr:nvPicPr>
        <xdr:cNvPr id="4" name="図 3">
          <a:extLst>
            <a:ext uri="{FF2B5EF4-FFF2-40B4-BE49-F238E27FC236}">
              <a16:creationId xmlns:a16="http://schemas.microsoft.com/office/drawing/2014/main" id="{7AB82A84-DFAB-409A-AE75-A63518949E97}"/>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3783235" y="1400735"/>
          <a:ext cx="9872509" cy="227950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12</xdr:col>
      <xdr:colOff>0</xdr:colOff>
      <xdr:row>7</xdr:row>
      <xdr:rowOff>0</xdr:rowOff>
    </xdr:from>
    <xdr:to>
      <xdr:col>21</xdr:col>
      <xdr:colOff>103154</xdr:colOff>
      <xdr:row>23</xdr:row>
      <xdr:rowOff>20167</xdr:rowOff>
    </xdr:to>
    <xdr:pic>
      <xdr:nvPicPr>
        <xdr:cNvPr id="4" name="図 3">
          <a:extLst>
            <a:ext uri="{FF2B5EF4-FFF2-40B4-BE49-F238E27FC236}">
              <a16:creationId xmlns:a16="http://schemas.microsoft.com/office/drawing/2014/main" id="{1763375A-01D0-0A7F-F1B5-0849A9D3EE7B}"/>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363325" y="1733550"/>
          <a:ext cx="7675529" cy="4096867"/>
        </a:xfrm>
        <a:prstGeom prst="rect">
          <a:avLst/>
        </a:prstGeom>
      </xdr:spPr>
    </xdr:pic>
    <xdr:clientData/>
  </xdr:twoCellAnchor>
  <xdr:twoCellAnchor editAs="oneCell">
    <xdr:from>
      <xdr:col>1</xdr:col>
      <xdr:colOff>0</xdr:colOff>
      <xdr:row>39</xdr:row>
      <xdr:rowOff>0</xdr:rowOff>
    </xdr:from>
    <xdr:to>
      <xdr:col>6</xdr:col>
      <xdr:colOff>469961</xdr:colOff>
      <xdr:row>66</xdr:row>
      <xdr:rowOff>45138</xdr:rowOff>
    </xdr:to>
    <xdr:pic>
      <xdr:nvPicPr>
        <xdr:cNvPr id="5" name="図 4">
          <a:extLst>
            <a:ext uri="{FF2B5EF4-FFF2-40B4-BE49-F238E27FC236}">
              <a16:creationId xmlns:a16="http://schemas.microsoft.com/office/drawing/2014/main" id="{8EECBC2B-D4C4-FE78-8556-36439EABAB88}"/>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685800" y="9667875"/>
          <a:ext cx="6565961" cy="647451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12</xdr:col>
      <xdr:colOff>0</xdr:colOff>
      <xdr:row>7</xdr:row>
      <xdr:rowOff>0</xdr:rowOff>
    </xdr:from>
    <xdr:to>
      <xdr:col>21</xdr:col>
      <xdr:colOff>578683</xdr:colOff>
      <xdr:row>25</xdr:row>
      <xdr:rowOff>182505</xdr:rowOff>
    </xdr:to>
    <xdr:pic>
      <xdr:nvPicPr>
        <xdr:cNvPr id="3" name="図 2">
          <a:extLst>
            <a:ext uri="{FF2B5EF4-FFF2-40B4-BE49-F238E27FC236}">
              <a16:creationId xmlns:a16="http://schemas.microsoft.com/office/drawing/2014/main" id="{C2D1210F-D528-65C0-D158-E3F3F508EB2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363325" y="1733550"/>
          <a:ext cx="8151058" cy="4468755"/>
        </a:xfrm>
        <a:prstGeom prst="rect">
          <a:avLst/>
        </a:prstGeom>
      </xdr:spPr>
    </xdr:pic>
    <xdr:clientData/>
  </xdr:twoCellAnchor>
  <xdr:twoCellAnchor editAs="oneCell">
    <xdr:from>
      <xdr:col>1</xdr:col>
      <xdr:colOff>0</xdr:colOff>
      <xdr:row>19</xdr:row>
      <xdr:rowOff>0</xdr:rowOff>
    </xdr:from>
    <xdr:to>
      <xdr:col>8</xdr:col>
      <xdr:colOff>55516</xdr:colOff>
      <xdr:row>48</xdr:row>
      <xdr:rowOff>196831</xdr:rowOff>
    </xdr:to>
    <xdr:pic>
      <xdr:nvPicPr>
        <xdr:cNvPr id="5" name="図 4">
          <a:extLst>
            <a:ext uri="{FF2B5EF4-FFF2-40B4-BE49-F238E27FC236}">
              <a16:creationId xmlns:a16="http://schemas.microsoft.com/office/drawing/2014/main" id="{0268088A-C42E-25FD-8860-ED67B8A32BF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685800" y="4591050"/>
          <a:ext cx="7523116" cy="710245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13</xdr:col>
      <xdr:colOff>0</xdr:colOff>
      <xdr:row>7</xdr:row>
      <xdr:rowOff>0</xdr:rowOff>
    </xdr:from>
    <xdr:to>
      <xdr:col>21</xdr:col>
      <xdr:colOff>441452</xdr:colOff>
      <xdr:row>27</xdr:row>
      <xdr:rowOff>145205</xdr:rowOff>
    </xdr:to>
    <xdr:pic>
      <xdr:nvPicPr>
        <xdr:cNvPr id="2" name="図 1">
          <a:extLst>
            <a:ext uri="{FF2B5EF4-FFF2-40B4-BE49-F238E27FC236}">
              <a16:creationId xmlns:a16="http://schemas.microsoft.com/office/drawing/2014/main" id="{0A7ABF7F-9B2E-259D-D5AD-05F65063B3CD}"/>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363325" y="1733550"/>
          <a:ext cx="7328027" cy="4907705"/>
        </a:xfrm>
        <a:prstGeom prst="rect">
          <a:avLst/>
        </a:prstGeom>
      </xdr:spPr>
    </xdr:pic>
    <xdr:clientData/>
  </xdr:twoCellAnchor>
  <xdr:twoCellAnchor editAs="oneCell">
    <xdr:from>
      <xdr:col>1</xdr:col>
      <xdr:colOff>0</xdr:colOff>
      <xdr:row>21</xdr:row>
      <xdr:rowOff>0</xdr:rowOff>
    </xdr:from>
    <xdr:to>
      <xdr:col>7</xdr:col>
      <xdr:colOff>518452</xdr:colOff>
      <xdr:row>61</xdr:row>
      <xdr:rowOff>22163</xdr:rowOff>
    </xdr:to>
    <xdr:pic>
      <xdr:nvPicPr>
        <xdr:cNvPr id="5" name="図 4">
          <a:extLst>
            <a:ext uri="{FF2B5EF4-FFF2-40B4-BE49-F238E27FC236}">
              <a16:creationId xmlns:a16="http://schemas.microsoft.com/office/drawing/2014/main" id="{F7014F88-4884-4D6A-BF3F-E44574D60F19}"/>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685800" y="4591050"/>
          <a:ext cx="7766977" cy="954716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12</xdr:col>
      <xdr:colOff>0</xdr:colOff>
      <xdr:row>7</xdr:row>
      <xdr:rowOff>0</xdr:rowOff>
    </xdr:from>
    <xdr:to>
      <xdr:col>19</xdr:col>
      <xdr:colOff>589504</xdr:colOff>
      <xdr:row>20</xdr:row>
      <xdr:rowOff>193406</xdr:rowOff>
    </xdr:to>
    <xdr:pic>
      <xdr:nvPicPr>
        <xdr:cNvPr id="6" name="図 5">
          <a:extLst>
            <a:ext uri="{FF2B5EF4-FFF2-40B4-BE49-F238E27FC236}">
              <a16:creationId xmlns:a16="http://schemas.microsoft.com/office/drawing/2014/main" id="{304713D7-0BE8-C99C-01EC-A63CC4B6D883}"/>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348357" y="1768929"/>
          <a:ext cx="6767147" cy="3377477"/>
        </a:xfrm>
        <a:prstGeom prst="rect">
          <a:avLst/>
        </a:prstGeom>
      </xdr:spPr>
    </xdr:pic>
    <xdr:clientData/>
  </xdr:twoCellAnchor>
  <xdr:twoCellAnchor editAs="oneCell">
    <xdr:from>
      <xdr:col>1</xdr:col>
      <xdr:colOff>0</xdr:colOff>
      <xdr:row>25</xdr:row>
      <xdr:rowOff>0</xdr:rowOff>
    </xdr:from>
    <xdr:to>
      <xdr:col>8</xdr:col>
      <xdr:colOff>516130</xdr:colOff>
      <xdr:row>35</xdr:row>
      <xdr:rowOff>68580</xdr:rowOff>
    </xdr:to>
    <xdr:pic>
      <xdr:nvPicPr>
        <xdr:cNvPr id="7" name="図 6">
          <a:extLst>
            <a:ext uri="{FF2B5EF4-FFF2-40B4-BE49-F238E27FC236}">
              <a16:creationId xmlns:a16="http://schemas.microsoft.com/office/drawing/2014/main" id="{67EA93E7-9948-D5DF-DC56-9B3C8A141C76}"/>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680357" y="6177643"/>
          <a:ext cx="7986452" cy="2517866"/>
        </a:xfrm>
        <a:prstGeom prst="rect">
          <a:avLst/>
        </a:prstGeom>
      </xdr:spPr>
    </xdr:pic>
    <xdr:clientData/>
  </xdr:twoCellAnchor>
  <xdr:twoCellAnchor editAs="oneCell">
    <xdr:from>
      <xdr:col>1</xdr:col>
      <xdr:colOff>0</xdr:colOff>
      <xdr:row>36</xdr:row>
      <xdr:rowOff>0</xdr:rowOff>
    </xdr:from>
    <xdr:to>
      <xdr:col>4</xdr:col>
      <xdr:colOff>619909</xdr:colOff>
      <xdr:row>41</xdr:row>
      <xdr:rowOff>195848</xdr:rowOff>
    </xdr:to>
    <xdr:pic>
      <xdr:nvPicPr>
        <xdr:cNvPr id="8" name="図 7">
          <a:extLst>
            <a:ext uri="{FF2B5EF4-FFF2-40B4-BE49-F238E27FC236}">
              <a16:creationId xmlns:a16="http://schemas.microsoft.com/office/drawing/2014/main" id="{E0528FF9-722B-4182-A788-AECCC6344CDF}"/>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680357" y="8871857"/>
          <a:ext cx="3395766" cy="1420491"/>
        </a:xfrm>
        <a:prstGeom prst="rect">
          <a:avLst/>
        </a:prstGeom>
      </xdr:spPr>
    </xdr:pic>
    <xdr:clientData/>
  </xdr:twoCellAnchor>
  <xdr:twoCellAnchor editAs="oneCell">
    <xdr:from>
      <xdr:col>1</xdr:col>
      <xdr:colOff>0</xdr:colOff>
      <xdr:row>43</xdr:row>
      <xdr:rowOff>0</xdr:rowOff>
    </xdr:from>
    <xdr:to>
      <xdr:col>13</xdr:col>
      <xdr:colOff>268957</xdr:colOff>
      <xdr:row>62</xdr:row>
      <xdr:rowOff>89456</xdr:rowOff>
    </xdr:to>
    <xdr:pic>
      <xdr:nvPicPr>
        <xdr:cNvPr id="9" name="図 8">
          <a:extLst>
            <a:ext uri="{FF2B5EF4-FFF2-40B4-BE49-F238E27FC236}">
              <a16:creationId xmlns:a16="http://schemas.microsoft.com/office/drawing/2014/main" id="{16B1658D-ECD0-90C2-FC34-B182FD0B95D7}"/>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80357" y="10586357"/>
          <a:ext cx="12229636" cy="4743099"/>
        </a:xfrm>
        <a:prstGeom prst="rect">
          <a:avLst/>
        </a:prstGeom>
      </xdr:spPr>
    </xdr:pic>
    <xdr:clientData/>
  </xdr:twoCellAnchor>
  <xdr:twoCellAnchor editAs="oneCell">
    <xdr:from>
      <xdr:col>1</xdr:col>
      <xdr:colOff>0</xdr:colOff>
      <xdr:row>65</xdr:row>
      <xdr:rowOff>0</xdr:rowOff>
    </xdr:from>
    <xdr:to>
      <xdr:col>13</xdr:col>
      <xdr:colOff>226281</xdr:colOff>
      <xdr:row>87</xdr:row>
      <xdr:rowOff>238668</xdr:rowOff>
    </xdr:to>
    <xdr:pic>
      <xdr:nvPicPr>
        <xdr:cNvPr id="10" name="図 9">
          <a:extLst>
            <a:ext uri="{FF2B5EF4-FFF2-40B4-BE49-F238E27FC236}">
              <a16:creationId xmlns:a16="http://schemas.microsoft.com/office/drawing/2014/main" id="{212FE2B9-6F09-32A6-6BDC-519F3D88FDD3}"/>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680357" y="15974786"/>
          <a:ext cx="12186960" cy="562709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26</xdr:row>
      <xdr:rowOff>0</xdr:rowOff>
    </xdr:from>
    <xdr:to>
      <xdr:col>6</xdr:col>
      <xdr:colOff>958031</xdr:colOff>
      <xdr:row>49</xdr:row>
      <xdr:rowOff>113642</xdr:rowOff>
    </xdr:to>
    <xdr:pic>
      <xdr:nvPicPr>
        <xdr:cNvPr id="3" name="図 2">
          <a:extLst>
            <a:ext uri="{FF2B5EF4-FFF2-40B4-BE49-F238E27FC236}">
              <a16:creationId xmlns:a16="http://schemas.microsoft.com/office/drawing/2014/main" id="{C597F740-7D1F-62D3-E195-F36002BDD1AB}"/>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85800" y="7191375"/>
          <a:ext cx="6663506" cy="5590517"/>
        </a:xfrm>
        <a:prstGeom prst="rect">
          <a:avLst/>
        </a:prstGeom>
      </xdr:spPr>
    </xdr:pic>
    <xdr:clientData/>
  </xdr:twoCellAnchor>
  <xdr:twoCellAnchor editAs="oneCell">
    <xdr:from>
      <xdr:col>1</xdr:col>
      <xdr:colOff>0</xdr:colOff>
      <xdr:row>51</xdr:row>
      <xdr:rowOff>0</xdr:rowOff>
    </xdr:from>
    <xdr:to>
      <xdr:col>5</xdr:col>
      <xdr:colOff>349819</xdr:colOff>
      <xdr:row>80</xdr:row>
      <xdr:rowOff>117576</xdr:rowOff>
    </xdr:to>
    <xdr:pic>
      <xdr:nvPicPr>
        <xdr:cNvPr id="5" name="図 4">
          <a:extLst>
            <a:ext uri="{FF2B5EF4-FFF2-40B4-BE49-F238E27FC236}">
              <a16:creationId xmlns:a16="http://schemas.microsoft.com/office/drawing/2014/main" id="{F5B1FEA3-3F82-09CC-765F-D25AD15E23E3}"/>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685800" y="13144500"/>
          <a:ext cx="5102794" cy="702320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5</xdr:col>
      <xdr:colOff>0</xdr:colOff>
      <xdr:row>32</xdr:row>
      <xdr:rowOff>0</xdr:rowOff>
    </xdr:from>
    <xdr:to>
      <xdr:col>7</xdr:col>
      <xdr:colOff>1410391</xdr:colOff>
      <xdr:row>43</xdr:row>
      <xdr:rowOff>197221</xdr:rowOff>
    </xdr:to>
    <xdr:pic>
      <xdr:nvPicPr>
        <xdr:cNvPr id="2" name="図 1">
          <a:extLst>
            <a:ext uri="{FF2B5EF4-FFF2-40B4-BE49-F238E27FC236}">
              <a16:creationId xmlns:a16="http://schemas.microsoft.com/office/drawing/2014/main" id="{1D9E9FFB-FCC0-D000-8B2B-0285D8BA37DC}"/>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696075" y="7686675"/>
          <a:ext cx="3572566" cy="2816596"/>
        </a:xfrm>
        <a:prstGeom prst="rect">
          <a:avLst/>
        </a:prstGeom>
      </xdr:spPr>
    </xdr:pic>
    <xdr:clientData/>
  </xdr:twoCellAnchor>
  <xdr:twoCellAnchor editAs="oneCell">
    <xdr:from>
      <xdr:col>1</xdr:col>
      <xdr:colOff>0</xdr:colOff>
      <xdr:row>30</xdr:row>
      <xdr:rowOff>0</xdr:rowOff>
    </xdr:from>
    <xdr:to>
      <xdr:col>4</xdr:col>
      <xdr:colOff>1441392</xdr:colOff>
      <xdr:row>83</xdr:row>
      <xdr:rowOff>127216</xdr:rowOff>
    </xdr:to>
    <xdr:pic>
      <xdr:nvPicPr>
        <xdr:cNvPr id="4" name="図 3">
          <a:extLst>
            <a:ext uri="{FF2B5EF4-FFF2-40B4-BE49-F238E27FC236}">
              <a16:creationId xmlns:a16="http://schemas.microsoft.com/office/drawing/2014/main" id="{DC7AD702-6473-803F-1162-0DD9F3DCBE96}"/>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685800" y="7210425"/>
          <a:ext cx="5194242" cy="1274784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31</xdr:row>
      <xdr:rowOff>0</xdr:rowOff>
    </xdr:from>
    <xdr:to>
      <xdr:col>4</xdr:col>
      <xdr:colOff>2252230</xdr:colOff>
      <xdr:row>61</xdr:row>
      <xdr:rowOff>147698</xdr:rowOff>
    </xdr:to>
    <xdr:pic>
      <xdr:nvPicPr>
        <xdr:cNvPr id="4" name="図 3">
          <a:extLst>
            <a:ext uri="{FF2B5EF4-FFF2-40B4-BE49-F238E27FC236}">
              <a16:creationId xmlns:a16="http://schemas.microsoft.com/office/drawing/2014/main" id="{6EA6C6BF-05A3-D37E-61CF-1A278B8F563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85800" y="7448550"/>
          <a:ext cx="6005080" cy="7291448"/>
        </a:xfrm>
        <a:prstGeom prst="rect">
          <a:avLst/>
        </a:prstGeom>
      </xdr:spPr>
    </xdr:pic>
    <xdr:clientData/>
  </xdr:twoCellAnchor>
  <xdr:twoCellAnchor editAs="oneCell">
    <xdr:from>
      <xdr:col>6</xdr:col>
      <xdr:colOff>0</xdr:colOff>
      <xdr:row>32</xdr:row>
      <xdr:rowOff>0</xdr:rowOff>
    </xdr:from>
    <xdr:to>
      <xdr:col>9</xdr:col>
      <xdr:colOff>231317</xdr:colOff>
      <xdr:row>41</xdr:row>
      <xdr:rowOff>51625</xdr:rowOff>
    </xdr:to>
    <xdr:pic>
      <xdr:nvPicPr>
        <xdr:cNvPr id="5" name="図 4">
          <a:extLst>
            <a:ext uri="{FF2B5EF4-FFF2-40B4-BE49-F238E27FC236}">
              <a16:creationId xmlns:a16="http://schemas.microsoft.com/office/drawing/2014/main" id="{D77D500E-D013-A3BB-96F9-DFFE89CB1F56}"/>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7648575" y="7686675"/>
          <a:ext cx="4974767" cy="2194750"/>
        </a:xfrm>
        <a:prstGeom prst="rect">
          <a:avLst/>
        </a:prstGeom>
      </xdr:spPr>
    </xdr:pic>
    <xdr:clientData/>
  </xdr:twoCellAnchor>
  <xdr:twoCellAnchor editAs="oneCell">
    <xdr:from>
      <xdr:col>1</xdr:col>
      <xdr:colOff>0</xdr:colOff>
      <xdr:row>62</xdr:row>
      <xdr:rowOff>0</xdr:rowOff>
    </xdr:from>
    <xdr:to>
      <xdr:col>4</xdr:col>
      <xdr:colOff>2252230</xdr:colOff>
      <xdr:row>97</xdr:row>
      <xdr:rowOff>97124</xdr:rowOff>
    </xdr:to>
    <xdr:pic>
      <xdr:nvPicPr>
        <xdr:cNvPr id="6" name="図 5">
          <a:extLst>
            <a:ext uri="{FF2B5EF4-FFF2-40B4-BE49-F238E27FC236}">
              <a16:creationId xmlns:a16="http://schemas.microsoft.com/office/drawing/2014/main" id="{637DA8D9-380B-E24A-383A-F6A04728AEB8}"/>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685800" y="14830425"/>
          <a:ext cx="6005080" cy="8431499"/>
        </a:xfrm>
        <a:prstGeom prst="rect">
          <a:avLst/>
        </a:prstGeom>
      </xdr:spPr>
    </xdr:pic>
    <xdr:clientData/>
  </xdr:twoCellAnchor>
  <xdr:twoCellAnchor editAs="oneCell">
    <xdr:from>
      <xdr:col>6</xdr:col>
      <xdr:colOff>0</xdr:colOff>
      <xdr:row>63</xdr:row>
      <xdr:rowOff>0</xdr:rowOff>
    </xdr:from>
    <xdr:to>
      <xdr:col>9</xdr:col>
      <xdr:colOff>2377295</xdr:colOff>
      <xdr:row>77</xdr:row>
      <xdr:rowOff>25437</xdr:rowOff>
    </xdr:to>
    <xdr:pic>
      <xdr:nvPicPr>
        <xdr:cNvPr id="7" name="図 6">
          <a:extLst>
            <a:ext uri="{FF2B5EF4-FFF2-40B4-BE49-F238E27FC236}">
              <a16:creationId xmlns:a16="http://schemas.microsoft.com/office/drawing/2014/main" id="{BF0D0619-3345-182F-DB8C-F7A5362C10ED}"/>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7648575" y="15068550"/>
          <a:ext cx="7120745" cy="3359187"/>
        </a:xfrm>
        <a:prstGeom prst="rect">
          <a:avLst/>
        </a:prstGeom>
      </xdr:spPr>
    </xdr:pic>
    <xdr:clientData/>
  </xdr:twoCellAnchor>
  <xdr:twoCellAnchor editAs="oneCell">
    <xdr:from>
      <xdr:col>1</xdr:col>
      <xdr:colOff>0</xdr:colOff>
      <xdr:row>99</xdr:row>
      <xdr:rowOff>0</xdr:rowOff>
    </xdr:from>
    <xdr:to>
      <xdr:col>4</xdr:col>
      <xdr:colOff>2246134</xdr:colOff>
      <xdr:row>134</xdr:row>
      <xdr:rowOff>11772</xdr:rowOff>
    </xdr:to>
    <xdr:pic>
      <xdr:nvPicPr>
        <xdr:cNvPr id="8" name="図 7">
          <a:extLst>
            <a:ext uri="{FF2B5EF4-FFF2-40B4-BE49-F238E27FC236}">
              <a16:creationId xmlns:a16="http://schemas.microsoft.com/office/drawing/2014/main" id="{5D704FE1-D6BE-87A8-5025-2070D0304566}"/>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685800" y="23641050"/>
          <a:ext cx="5998984" cy="8346147"/>
        </a:xfrm>
        <a:prstGeom prst="rect">
          <a:avLst/>
        </a:prstGeom>
      </xdr:spPr>
    </xdr:pic>
    <xdr:clientData/>
  </xdr:twoCellAnchor>
  <xdr:twoCellAnchor editAs="oneCell">
    <xdr:from>
      <xdr:col>6</xdr:col>
      <xdr:colOff>0</xdr:colOff>
      <xdr:row>99</xdr:row>
      <xdr:rowOff>0</xdr:rowOff>
    </xdr:from>
    <xdr:to>
      <xdr:col>10</xdr:col>
      <xdr:colOff>122938</xdr:colOff>
      <xdr:row>112</xdr:row>
      <xdr:rowOff>31894</xdr:rowOff>
    </xdr:to>
    <xdr:pic>
      <xdr:nvPicPr>
        <xdr:cNvPr id="14" name="図 13">
          <a:extLst>
            <a:ext uri="{FF2B5EF4-FFF2-40B4-BE49-F238E27FC236}">
              <a16:creationId xmlns:a16="http://schemas.microsoft.com/office/drawing/2014/main" id="{344A3BD2-150F-2774-27D6-DB295258A8BC}"/>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7648575" y="23641050"/>
          <a:ext cx="7352413" cy="312751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12</xdr:row>
      <xdr:rowOff>0</xdr:rowOff>
    </xdr:from>
    <xdr:to>
      <xdr:col>4</xdr:col>
      <xdr:colOff>1575516</xdr:colOff>
      <xdr:row>43</xdr:row>
      <xdr:rowOff>55890</xdr:rowOff>
    </xdr:to>
    <xdr:pic>
      <xdr:nvPicPr>
        <xdr:cNvPr id="4" name="図 3">
          <a:extLst>
            <a:ext uri="{FF2B5EF4-FFF2-40B4-BE49-F238E27FC236}">
              <a16:creationId xmlns:a16="http://schemas.microsoft.com/office/drawing/2014/main" id="{0C0042B1-6FE9-061A-1799-8F4BBA181245}"/>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85800" y="3390900"/>
          <a:ext cx="5328366" cy="743776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5</xdr:col>
      <xdr:colOff>2057400</xdr:colOff>
      <xdr:row>52</xdr:row>
      <xdr:rowOff>152400</xdr:rowOff>
    </xdr:from>
    <xdr:ext cx="184731" cy="264560"/>
    <xdr:sp macro="" textlink="">
      <xdr:nvSpPr>
        <xdr:cNvPr id="2" name="テキスト ボックス 1">
          <a:extLst>
            <a:ext uri="{FF2B5EF4-FFF2-40B4-BE49-F238E27FC236}">
              <a16:creationId xmlns:a16="http://schemas.microsoft.com/office/drawing/2014/main" id="{2FF28EB2-1F51-4DD9-94D1-91CA50263EC0}"/>
            </a:ext>
          </a:extLst>
        </xdr:cNvPr>
        <xdr:cNvSpPr txBox="1"/>
      </xdr:nvSpPr>
      <xdr:spPr>
        <a:xfrm>
          <a:off x="8724900" y="6581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editAs="oneCell">
    <xdr:from>
      <xdr:col>1</xdr:col>
      <xdr:colOff>0</xdr:colOff>
      <xdr:row>11</xdr:row>
      <xdr:rowOff>0</xdr:rowOff>
    </xdr:from>
    <xdr:to>
      <xdr:col>5</xdr:col>
      <xdr:colOff>1783623</xdr:colOff>
      <xdr:row>25</xdr:row>
      <xdr:rowOff>46368</xdr:rowOff>
    </xdr:to>
    <xdr:pic>
      <xdr:nvPicPr>
        <xdr:cNvPr id="4" name="図 3">
          <a:extLst>
            <a:ext uri="{FF2B5EF4-FFF2-40B4-BE49-F238E27FC236}">
              <a16:creationId xmlns:a16="http://schemas.microsoft.com/office/drawing/2014/main" id="{837A2630-BC72-FF1C-CFF4-F14C5BADC4BC}"/>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23265" y="2655794"/>
          <a:ext cx="8327858" cy="334089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5</xdr:col>
      <xdr:colOff>2057400</xdr:colOff>
      <xdr:row>43</xdr:row>
      <xdr:rowOff>152400</xdr:rowOff>
    </xdr:from>
    <xdr:ext cx="184731" cy="264560"/>
    <xdr:sp macro="" textlink="">
      <xdr:nvSpPr>
        <xdr:cNvPr id="2" name="テキスト ボックス 1">
          <a:extLst>
            <a:ext uri="{FF2B5EF4-FFF2-40B4-BE49-F238E27FC236}">
              <a16:creationId xmlns:a16="http://schemas.microsoft.com/office/drawing/2014/main" id="{58D1B75D-0523-4BA8-B54C-B433A66B06CF}"/>
            </a:ext>
          </a:extLst>
        </xdr:cNvPr>
        <xdr:cNvSpPr txBox="1"/>
      </xdr:nvSpPr>
      <xdr:spPr>
        <a:xfrm>
          <a:off x="8582025" y="387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editAs="oneCell">
    <xdr:from>
      <xdr:col>1</xdr:col>
      <xdr:colOff>0</xdr:colOff>
      <xdr:row>11</xdr:row>
      <xdr:rowOff>0</xdr:rowOff>
    </xdr:from>
    <xdr:to>
      <xdr:col>3</xdr:col>
      <xdr:colOff>1937507</xdr:colOff>
      <xdr:row>25</xdr:row>
      <xdr:rowOff>58561</xdr:rowOff>
    </xdr:to>
    <xdr:pic>
      <xdr:nvPicPr>
        <xdr:cNvPr id="4" name="図 3">
          <a:extLst>
            <a:ext uri="{FF2B5EF4-FFF2-40B4-BE49-F238E27FC236}">
              <a16:creationId xmlns:a16="http://schemas.microsoft.com/office/drawing/2014/main" id="{B3CCBEC1-1790-4B55-F961-FCD6DCB61DA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23265" y="2655794"/>
          <a:ext cx="4761389" cy="33530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9525</xdr:colOff>
      <xdr:row>4</xdr:row>
      <xdr:rowOff>0</xdr:rowOff>
    </xdr:from>
    <xdr:to>
      <xdr:col>20</xdr:col>
      <xdr:colOff>209550</xdr:colOff>
      <xdr:row>14</xdr:row>
      <xdr:rowOff>38100</xdr:rowOff>
    </xdr:to>
    <xdr:pic>
      <xdr:nvPicPr>
        <xdr:cNvPr id="2" name="図 1">
          <a:extLst>
            <a:ext uri="{FF2B5EF4-FFF2-40B4-BE49-F238E27FC236}">
              <a16:creationId xmlns:a16="http://schemas.microsoft.com/office/drawing/2014/main" id="{9B3E2D92-4966-B93C-915D-F52987E9D275}"/>
            </a:ext>
          </a:extLst>
        </xdr:cNvPr>
        <xdr:cNvPicPr>
          <a:picLocks noChangeAspect="1"/>
        </xdr:cNvPicPr>
      </xdr:nvPicPr>
      <xdr:blipFill>
        <a:blip xmlns:r="http://schemas.openxmlformats.org/officeDocument/2006/relationships" r:embed="rId1"/>
        <a:stretch>
          <a:fillRect/>
        </a:stretch>
      </xdr:blipFill>
      <xdr:spPr>
        <a:xfrm>
          <a:off x="9715500" y="952500"/>
          <a:ext cx="7743825" cy="241935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6</xdr:col>
      <xdr:colOff>2057400</xdr:colOff>
      <xdr:row>37</xdr:row>
      <xdr:rowOff>152400</xdr:rowOff>
    </xdr:from>
    <xdr:ext cx="184731" cy="264560"/>
    <xdr:sp macro="" textlink="">
      <xdr:nvSpPr>
        <xdr:cNvPr id="2" name="テキスト ボックス 1">
          <a:extLst>
            <a:ext uri="{FF2B5EF4-FFF2-40B4-BE49-F238E27FC236}">
              <a16:creationId xmlns:a16="http://schemas.microsoft.com/office/drawing/2014/main" id="{AAC3D282-3C5C-4C7B-BC08-6E65DE63F234}"/>
            </a:ext>
          </a:extLst>
        </xdr:cNvPr>
        <xdr:cNvSpPr txBox="1"/>
      </xdr:nvSpPr>
      <xdr:spPr>
        <a:xfrm>
          <a:off x="8353425" y="255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editAs="oneCell">
    <xdr:from>
      <xdr:col>2</xdr:col>
      <xdr:colOff>0</xdr:colOff>
      <xdr:row>11</xdr:row>
      <xdr:rowOff>0</xdr:rowOff>
    </xdr:from>
    <xdr:to>
      <xdr:col>4</xdr:col>
      <xdr:colOff>2745610</xdr:colOff>
      <xdr:row>26</xdr:row>
      <xdr:rowOff>85388</xdr:rowOff>
    </xdr:to>
    <xdr:pic>
      <xdr:nvPicPr>
        <xdr:cNvPr id="4" name="図 3">
          <a:extLst>
            <a:ext uri="{FF2B5EF4-FFF2-40B4-BE49-F238E27FC236}">
              <a16:creationId xmlns:a16="http://schemas.microsoft.com/office/drawing/2014/main" id="{50F7592C-4974-D791-9B48-9AD87671369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23265" y="2655794"/>
          <a:ext cx="5054022" cy="361524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10</xdr:col>
      <xdr:colOff>1050680</xdr:colOff>
      <xdr:row>24</xdr:row>
      <xdr:rowOff>145367</xdr:rowOff>
    </xdr:to>
    <xdr:pic>
      <xdr:nvPicPr>
        <xdr:cNvPr id="3" name="図 2">
          <a:extLst>
            <a:ext uri="{FF2B5EF4-FFF2-40B4-BE49-F238E27FC236}">
              <a16:creationId xmlns:a16="http://schemas.microsoft.com/office/drawing/2014/main" id="{D20623A2-BC20-0691-A533-5E1A5187B73F}"/>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55941" y="2420471"/>
          <a:ext cx="5364945" cy="3664014"/>
        </a:xfrm>
        <a:prstGeom prst="rect">
          <a:avLst/>
        </a:prstGeom>
      </xdr:spPr>
    </xdr:pic>
    <xdr:clientData/>
  </xdr:twoCellAnchor>
  <xdr:twoCellAnchor editAs="oneCell">
    <xdr:from>
      <xdr:col>1</xdr:col>
      <xdr:colOff>0</xdr:colOff>
      <xdr:row>25</xdr:row>
      <xdr:rowOff>0</xdr:rowOff>
    </xdr:from>
    <xdr:to>
      <xdr:col>7</xdr:col>
      <xdr:colOff>256314</xdr:colOff>
      <xdr:row>45</xdr:row>
      <xdr:rowOff>225620</xdr:rowOff>
    </xdr:to>
    <xdr:pic>
      <xdr:nvPicPr>
        <xdr:cNvPr id="4" name="図 3">
          <a:extLst>
            <a:ext uri="{FF2B5EF4-FFF2-40B4-BE49-F238E27FC236}">
              <a16:creationId xmlns:a16="http://schemas.microsoft.com/office/drawing/2014/main" id="{E22D6A7D-71DB-4D5F-1B11-99C8BF503E5A}"/>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683559" y="6174441"/>
          <a:ext cx="8425402" cy="493209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15</xdr:row>
      <xdr:rowOff>0</xdr:rowOff>
    </xdr:from>
    <xdr:to>
      <xdr:col>6</xdr:col>
      <xdr:colOff>284639</xdr:colOff>
      <xdr:row>29</xdr:row>
      <xdr:rowOff>186228</xdr:rowOff>
    </xdr:to>
    <xdr:pic>
      <xdr:nvPicPr>
        <xdr:cNvPr id="4" name="図 3">
          <a:extLst>
            <a:ext uri="{FF2B5EF4-FFF2-40B4-BE49-F238E27FC236}">
              <a16:creationId xmlns:a16="http://schemas.microsoft.com/office/drawing/2014/main" id="{2863AF42-FA13-C6A1-A9C8-A312618F92C7}"/>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00050" y="3638550"/>
          <a:ext cx="4761389" cy="3462828"/>
        </a:xfrm>
        <a:prstGeom prst="rect">
          <a:avLst/>
        </a:prstGeom>
      </xdr:spPr>
    </xdr:pic>
    <xdr:clientData/>
  </xdr:twoCellAnchor>
  <xdr:twoCellAnchor editAs="oneCell">
    <xdr:from>
      <xdr:col>1</xdr:col>
      <xdr:colOff>0</xdr:colOff>
      <xdr:row>80</xdr:row>
      <xdr:rowOff>0</xdr:rowOff>
    </xdr:from>
    <xdr:to>
      <xdr:col>7</xdr:col>
      <xdr:colOff>846359</xdr:colOff>
      <xdr:row>103</xdr:row>
      <xdr:rowOff>94952</xdr:rowOff>
    </xdr:to>
    <xdr:pic>
      <xdr:nvPicPr>
        <xdr:cNvPr id="6" name="図 5">
          <a:extLst>
            <a:ext uri="{FF2B5EF4-FFF2-40B4-BE49-F238E27FC236}">
              <a16:creationId xmlns:a16="http://schemas.microsoft.com/office/drawing/2014/main" id="{5843A455-A904-EB7D-A6BD-38535B8BFF34}"/>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00050" y="18573750"/>
          <a:ext cx="6218459" cy="5352752"/>
        </a:xfrm>
        <a:prstGeom prst="rect">
          <a:avLst/>
        </a:prstGeom>
      </xdr:spPr>
    </xdr:pic>
    <xdr:clientData/>
  </xdr:twoCellAnchor>
  <xdr:twoCellAnchor editAs="oneCell">
    <xdr:from>
      <xdr:col>8</xdr:col>
      <xdr:colOff>0</xdr:colOff>
      <xdr:row>80</xdr:row>
      <xdr:rowOff>0</xdr:rowOff>
    </xdr:from>
    <xdr:to>
      <xdr:col>13</xdr:col>
      <xdr:colOff>2578120</xdr:colOff>
      <xdr:row>102</xdr:row>
      <xdr:rowOff>171139</xdr:rowOff>
    </xdr:to>
    <xdr:pic>
      <xdr:nvPicPr>
        <xdr:cNvPr id="7" name="図 6">
          <a:extLst>
            <a:ext uri="{FF2B5EF4-FFF2-40B4-BE49-F238E27FC236}">
              <a16:creationId xmlns:a16="http://schemas.microsoft.com/office/drawing/2014/main" id="{E03E9C22-D77A-0682-FF90-9625A2BEB034}"/>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6667500" y="18573750"/>
          <a:ext cx="7559695" cy="520033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48</xdr:row>
      <xdr:rowOff>0</xdr:rowOff>
    </xdr:from>
    <xdr:to>
      <xdr:col>7</xdr:col>
      <xdr:colOff>47625</xdr:colOff>
      <xdr:row>61</xdr:row>
      <xdr:rowOff>123825</xdr:rowOff>
    </xdr:to>
    <xdr:grpSp>
      <xdr:nvGrpSpPr>
        <xdr:cNvPr id="6" name="グループ化 5">
          <a:extLst>
            <a:ext uri="{FF2B5EF4-FFF2-40B4-BE49-F238E27FC236}">
              <a16:creationId xmlns:a16="http://schemas.microsoft.com/office/drawing/2014/main" id="{3CA74270-5759-D79C-58B9-2E9FDC873F32}"/>
            </a:ext>
          </a:extLst>
        </xdr:cNvPr>
        <xdr:cNvGrpSpPr/>
      </xdr:nvGrpSpPr>
      <xdr:grpSpPr>
        <a:xfrm>
          <a:off x="666750" y="11310938"/>
          <a:ext cx="6121718" cy="3066573"/>
          <a:chOff x="680357" y="11729357"/>
          <a:chExt cx="6157232" cy="3307897"/>
        </a:xfrm>
      </xdr:grpSpPr>
      <xdr:graphicFrame macro="">
        <xdr:nvGraphicFramePr>
          <xdr:cNvPr id="2" name="グラフ 1">
            <a:extLst>
              <a:ext uri="{FF2B5EF4-FFF2-40B4-BE49-F238E27FC236}">
                <a16:creationId xmlns:a16="http://schemas.microsoft.com/office/drawing/2014/main" id="{F0E2108E-26FA-8C64-69E6-C9B969D1A622}"/>
              </a:ext>
            </a:extLst>
          </xdr:cNvPr>
          <xdr:cNvGraphicFramePr/>
        </xdr:nvGraphicFramePr>
        <xdr:xfrm>
          <a:off x="680357" y="11729357"/>
          <a:ext cx="6157232" cy="3307897"/>
        </xdr:xfrm>
        <a:graphic>
          <a:graphicData uri="http://schemas.openxmlformats.org/drawingml/2006/chart">
            <c:chart xmlns:c="http://schemas.openxmlformats.org/drawingml/2006/chart" xmlns:r="http://schemas.openxmlformats.org/officeDocument/2006/relationships" r:id="rId1"/>
          </a:graphicData>
        </a:graphic>
      </xdr:graphicFrame>
      <xdr:sp macro="" textlink="$C$46">
        <xdr:nvSpPr>
          <xdr:cNvPr id="4" name="矢印: 右 3">
            <a:extLst>
              <a:ext uri="{FF2B5EF4-FFF2-40B4-BE49-F238E27FC236}">
                <a16:creationId xmlns:a16="http://schemas.microsoft.com/office/drawing/2014/main" id="{84FE8D54-5C53-606F-0A1E-19D036224674}"/>
              </a:ext>
            </a:extLst>
          </xdr:cNvPr>
          <xdr:cNvSpPr/>
        </xdr:nvSpPr>
        <xdr:spPr>
          <a:xfrm rot="504191">
            <a:off x="3932431" y="12603947"/>
            <a:ext cx="1119706" cy="529613"/>
          </a:xfrm>
          <a:prstGeom prst="rightArrow">
            <a:avLst/>
          </a:prstGeom>
          <a:solidFill>
            <a:schemeClr val="accent2"/>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F4BA33E6-C4DE-4B39-A714-AC25F5DA8606}" type="TxLink">
              <a:rPr kumimoji="1" lang="en-US" altLang="en-US" sz="1200" b="1" i="0" u="none" strike="noStrike">
                <a:solidFill>
                  <a:schemeClr val="tx1"/>
                </a:solidFill>
                <a:latin typeface="游ゴシック"/>
                <a:ea typeface="游ゴシック"/>
              </a:rPr>
              <a:pPr algn="ctr"/>
              <a:t>#DIV/0!</a:t>
            </a:fld>
            <a:endParaRPr kumimoji="1" lang="ja-JP" altLang="en-US" sz="1200" b="1">
              <a:solidFill>
                <a:schemeClr val="tx1"/>
              </a:solidFill>
            </a:endParaRPr>
          </a:p>
        </xdr:txBody>
      </xdr:sp>
      <xdr:sp macro="" textlink="">
        <xdr:nvSpPr>
          <xdr:cNvPr id="5" name="テキスト ボックス 4">
            <a:extLst>
              <a:ext uri="{FF2B5EF4-FFF2-40B4-BE49-F238E27FC236}">
                <a16:creationId xmlns:a16="http://schemas.microsoft.com/office/drawing/2014/main" id="{16D16913-18FC-336B-039D-0F7BBE8D0CA7}"/>
              </a:ext>
            </a:extLst>
          </xdr:cNvPr>
          <xdr:cNvSpPr txBox="1"/>
        </xdr:nvSpPr>
        <xdr:spPr>
          <a:xfrm>
            <a:off x="4041319" y="12232821"/>
            <a:ext cx="1061358" cy="3401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削減目標値</a:t>
            </a:r>
          </a:p>
        </xdr:txBody>
      </xdr:sp>
    </xdr:grpSp>
    <xdr:clientData/>
  </xdr:twoCellAnchor>
  <xdr:oneCellAnchor>
    <xdr:from>
      <xdr:col>7</xdr:col>
      <xdr:colOff>396875</xdr:colOff>
      <xdr:row>56</xdr:row>
      <xdr:rowOff>190500</xdr:rowOff>
    </xdr:from>
    <xdr:ext cx="3989362" cy="1036438"/>
    <xdr:sp macro="" textlink="">
      <xdr:nvSpPr>
        <xdr:cNvPr id="7" name="テキスト ボックス 6">
          <a:extLst>
            <a:ext uri="{FF2B5EF4-FFF2-40B4-BE49-F238E27FC236}">
              <a16:creationId xmlns:a16="http://schemas.microsoft.com/office/drawing/2014/main" id="{DBBDCDE6-8D67-48A0-B97B-632DDAE3E4CF}"/>
            </a:ext>
          </a:extLst>
        </xdr:cNvPr>
        <xdr:cNvSpPr txBox="1"/>
      </xdr:nvSpPr>
      <xdr:spPr>
        <a:xfrm>
          <a:off x="7127875" y="12668250"/>
          <a:ext cx="3989362" cy="1036438"/>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solidFill>
                <a:srgbClr val="FF0000"/>
              </a:solidFill>
            </a:rPr>
            <a:t>注：電力消費にかかる温室効果ガス排出量は、</a:t>
          </a:r>
          <a:endParaRPr kumimoji="1" lang="en-US" altLang="ja-JP" sz="1100" b="1">
            <a:solidFill>
              <a:srgbClr val="FF0000"/>
            </a:solidFill>
          </a:endParaRPr>
        </a:p>
        <a:p>
          <a:r>
            <a:rPr kumimoji="1" lang="ja-JP" altLang="en-US" sz="1100" b="1">
              <a:solidFill>
                <a:srgbClr val="FF0000"/>
              </a:solidFill>
            </a:rPr>
            <a:t>　　</a:t>
          </a:r>
          <a:r>
            <a:rPr kumimoji="1" lang="en-US" altLang="ja-JP" sz="1100" b="1">
              <a:solidFill>
                <a:srgbClr val="FF0000"/>
              </a:solidFill>
            </a:rPr>
            <a:t>2030</a:t>
          </a:r>
          <a:r>
            <a:rPr kumimoji="1" lang="ja-JP" altLang="en-US" sz="1100" b="1">
              <a:solidFill>
                <a:srgbClr val="FF0000"/>
              </a:solidFill>
            </a:rPr>
            <a:t>年度の全電源平均の電力排出係数：</a:t>
          </a:r>
          <a:r>
            <a:rPr kumimoji="1" lang="en-US" altLang="ja-JP" sz="1100" b="1">
              <a:solidFill>
                <a:srgbClr val="FF0000"/>
              </a:solidFill>
            </a:rPr>
            <a:t>0.25kg-CO₂/kWh</a:t>
          </a:r>
        </a:p>
        <a:p>
          <a:r>
            <a:rPr kumimoji="1" lang="ja-JP" altLang="en-US" sz="1100" b="1">
              <a:solidFill>
                <a:srgbClr val="FF0000"/>
              </a:solidFill>
            </a:rPr>
            <a:t>　　（出典：</a:t>
          </a:r>
          <a:r>
            <a:rPr kumimoji="1" lang="en-US" altLang="ja-JP" sz="1100" b="1">
              <a:solidFill>
                <a:srgbClr val="FF0000"/>
              </a:solidFill>
            </a:rPr>
            <a:t>2030</a:t>
          </a:r>
          <a:r>
            <a:rPr kumimoji="1" lang="ja-JP" altLang="en-US" sz="1100" b="1">
              <a:solidFill>
                <a:srgbClr val="FF0000"/>
              </a:solidFill>
            </a:rPr>
            <a:t>年度におけるエネルギー需給の見通し）</a:t>
          </a:r>
          <a:endParaRPr kumimoji="1" lang="en-US" altLang="ja-JP" sz="1100" b="1">
            <a:solidFill>
              <a:srgbClr val="FF0000"/>
            </a:solidFill>
          </a:endParaRPr>
        </a:p>
        <a:p>
          <a:r>
            <a:rPr kumimoji="1" lang="ja-JP" altLang="en-US" sz="1100" b="1">
              <a:solidFill>
                <a:srgbClr val="FF0000"/>
              </a:solidFill>
            </a:rPr>
            <a:t>　　を用いて算出</a:t>
          </a: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1</xdr:col>
      <xdr:colOff>0</xdr:colOff>
      <xdr:row>16</xdr:row>
      <xdr:rowOff>0</xdr:rowOff>
    </xdr:from>
    <xdr:to>
      <xdr:col>6</xdr:col>
      <xdr:colOff>576263</xdr:colOff>
      <xdr:row>29</xdr:row>
      <xdr:rowOff>128587</xdr:rowOff>
    </xdr:to>
    <xdr:graphicFrame macro="">
      <xdr:nvGraphicFramePr>
        <xdr:cNvPr id="2" name="グラフ 1">
          <a:extLst>
            <a:ext uri="{FF2B5EF4-FFF2-40B4-BE49-F238E27FC236}">
              <a16:creationId xmlns:a16="http://schemas.microsoft.com/office/drawing/2014/main" id="{577B35A5-D636-B137-0631-A6CF965779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16</xdr:row>
      <xdr:rowOff>0</xdr:rowOff>
    </xdr:from>
    <xdr:to>
      <xdr:col>17</xdr:col>
      <xdr:colOff>271463</xdr:colOff>
      <xdr:row>29</xdr:row>
      <xdr:rowOff>128587</xdr:rowOff>
    </xdr:to>
    <xdr:graphicFrame macro="">
      <xdr:nvGraphicFramePr>
        <xdr:cNvPr id="6" name="グラフ 5">
          <a:extLst>
            <a:ext uri="{FF2B5EF4-FFF2-40B4-BE49-F238E27FC236}">
              <a16:creationId xmlns:a16="http://schemas.microsoft.com/office/drawing/2014/main" id="{F9F8A667-ACEC-4398-92B7-2A02C8215B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13</xdr:col>
      <xdr:colOff>301624</xdr:colOff>
      <xdr:row>29</xdr:row>
      <xdr:rowOff>224155</xdr:rowOff>
    </xdr:from>
    <xdr:ext cx="2733967" cy="1272464"/>
    <xdr:sp macro="" textlink="">
      <xdr:nvSpPr>
        <xdr:cNvPr id="4" name="テキスト ボックス 3">
          <a:extLst>
            <a:ext uri="{FF2B5EF4-FFF2-40B4-BE49-F238E27FC236}">
              <a16:creationId xmlns:a16="http://schemas.microsoft.com/office/drawing/2014/main" id="{EFA43C85-B4B9-40AD-8F93-10A4411D433D}"/>
            </a:ext>
          </a:extLst>
        </xdr:cNvPr>
        <xdr:cNvSpPr txBox="1"/>
      </xdr:nvSpPr>
      <xdr:spPr>
        <a:xfrm>
          <a:off x="11795124" y="8129905"/>
          <a:ext cx="2733967" cy="1272464"/>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b="1">
              <a:solidFill>
                <a:srgbClr val="FF0000"/>
              </a:solidFill>
            </a:rPr>
            <a:t>注：電力消費にかかる温室効果ガス排出量は、</a:t>
          </a:r>
          <a:r>
            <a:rPr kumimoji="1" lang="en-US" altLang="ja-JP" sz="1100" b="1">
              <a:solidFill>
                <a:srgbClr val="FF0000"/>
              </a:solidFill>
            </a:rPr>
            <a:t>2030</a:t>
          </a:r>
          <a:r>
            <a:rPr kumimoji="1" lang="ja-JP" altLang="en-US" sz="1100" b="1">
              <a:solidFill>
                <a:srgbClr val="FF0000"/>
              </a:solidFill>
            </a:rPr>
            <a:t>年度の全電源平均の電力排出係数：</a:t>
          </a:r>
          <a:r>
            <a:rPr kumimoji="1" lang="en-US" altLang="ja-JP" sz="1100" b="1">
              <a:solidFill>
                <a:srgbClr val="FF0000"/>
              </a:solidFill>
            </a:rPr>
            <a:t>0.25kg-CO₂/kWh</a:t>
          </a:r>
        </a:p>
        <a:p>
          <a:r>
            <a:rPr kumimoji="1" lang="ja-JP" altLang="en-US" sz="1100" b="1">
              <a:solidFill>
                <a:srgbClr val="FF0000"/>
              </a:solidFill>
            </a:rPr>
            <a:t>（出典：</a:t>
          </a:r>
          <a:r>
            <a:rPr kumimoji="1" lang="en-US" altLang="ja-JP" sz="1100" b="1">
              <a:solidFill>
                <a:srgbClr val="FF0000"/>
              </a:solidFill>
            </a:rPr>
            <a:t>2030</a:t>
          </a:r>
          <a:r>
            <a:rPr kumimoji="1" lang="ja-JP" altLang="en-US" sz="1100" b="1">
              <a:solidFill>
                <a:srgbClr val="FF0000"/>
              </a:solidFill>
            </a:rPr>
            <a:t>年度におけるエネルギー需給の見通し）を用いて算出</a:t>
          </a:r>
        </a:p>
      </xdr:txBody>
    </xdr:sp>
    <xdr:clientData/>
  </xdr:oneCellAnchor>
  <xdr:oneCellAnchor>
    <xdr:from>
      <xdr:col>4</xdr:col>
      <xdr:colOff>47625</xdr:colOff>
      <xdr:row>30</xdr:row>
      <xdr:rowOff>0</xdr:rowOff>
    </xdr:from>
    <xdr:ext cx="2733967" cy="1272464"/>
    <xdr:sp macro="" textlink="">
      <xdr:nvSpPr>
        <xdr:cNvPr id="5" name="テキスト ボックス 4">
          <a:extLst>
            <a:ext uri="{FF2B5EF4-FFF2-40B4-BE49-F238E27FC236}">
              <a16:creationId xmlns:a16="http://schemas.microsoft.com/office/drawing/2014/main" id="{9B7FCCC9-F701-4B2B-AA56-B2F6F4ACC9A5}"/>
            </a:ext>
          </a:extLst>
        </xdr:cNvPr>
        <xdr:cNvSpPr txBox="1"/>
      </xdr:nvSpPr>
      <xdr:spPr>
        <a:xfrm>
          <a:off x="5222875" y="8143875"/>
          <a:ext cx="2733967" cy="1272464"/>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b="1">
              <a:solidFill>
                <a:srgbClr val="FF0000"/>
              </a:solidFill>
            </a:rPr>
            <a:t>注：電力消費にかかる温室効果ガス排出量は、</a:t>
          </a:r>
          <a:r>
            <a:rPr kumimoji="1" lang="en-US" altLang="ja-JP" sz="1100" b="1">
              <a:solidFill>
                <a:srgbClr val="FF0000"/>
              </a:solidFill>
            </a:rPr>
            <a:t>2030</a:t>
          </a:r>
          <a:r>
            <a:rPr kumimoji="1" lang="ja-JP" altLang="en-US" sz="1100" b="1">
              <a:solidFill>
                <a:srgbClr val="FF0000"/>
              </a:solidFill>
            </a:rPr>
            <a:t>年度の全電源平均の電力排出係数：</a:t>
          </a:r>
          <a:r>
            <a:rPr kumimoji="1" lang="en-US" altLang="ja-JP" sz="1100" b="1">
              <a:solidFill>
                <a:srgbClr val="FF0000"/>
              </a:solidFill>
            </a:rPr>
            <a:t>0.25kg-CO₂/kWh</a:t>
          </a:r>
        </a:p>
        <a:p>
          <a:r>
            <a:rPr kumimoji="1" lang="ja-JP" altLang="en-US" sz="1100" b="1">
              <a:solidFill>
                <a:srgbClr val="FF0000"/>
              </a:solidFill>
            </a:rPr>
            <a:t>（出典：</a:t>
          </a:r>
          <a:r>
            <a:rPr kumimoji="1" lang="en-US" altLang="ja-JP" sz="1100" b="1">
              <a:solidFill>
                <a:srgbClr val="FF0000"/>
              </a:solidFill>
            </a:rPr>
            <a:t>2030</a:t>
          </a:r>
          <a:r>
            <a:rPr kumimoji="1" lang="ja-JP" altLang="en-US" sz="1100" b="1">
              <a:solidFill>
                <a:srgbClr val="FF0000"/>
              </a:solidFill>
            </a:rPr>
            <a:t>年度におけるエネルギー需給の見通し）を用いて算出</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2</xdr:col>
      <xdr:colOff>0</xdr:colOff>
      <xdr:row>9</xdr:row>
      <xdr:rowOff>78441</xdr:rowOff>
    </xdr:from>
    <xdr:to>
      <xdr:col>7</xdr:col>
      <xdr:colOff>882425</xdr:colOff>
      <xdr:row>28</xdr:row>
      <xdr:rowOff>166967</xdr:rowOff>
    </xdr:to>
    <xdr:grpSp>
      <xdr:nvGrpSpPr>
        <xdr:cNvPr id="7" name="グループ化 6">
          <a:extLst>
            <a:ext uri="{FF2B5EF4-FFF2-40B4-BE49-F238E27FC236}">
              <a16:creationId xmlns:a16="http://schemas.microsoft.com/office/drawing/2014/main" id="{CBA53FE9-DF25-0B0F-FF66-A4BB781CC676}"/>
            </a:ext>
          </a:extLst>
        </xdr:cNvPr>
        <xdr:cNvGrpSpPr/>
      </xdr:nvGrpSpPr>
      <xdr:grpSpPr>
        <a:xfrm>
          <a:off x="1333500" y="3015316"/>
          <a:ext cx="7345455" cy="4315086"/>
          <a:chOff x="1367118" y="3137647"/>
          <a:chExt cx="7337013" cy="4559673"/>
        </a:xfrm>
      </xdr:grpSpPr>
      <xdr:graphicFrame macro="">
        <xdr:nvGraphicFramePr>
          <xdr:cNvPr id="6" name="グラフ 5">
            <a:extLst>
              <a:ext uri="{FF2B5EF4-FFF2-40B4-BE49-F238E27FC236}">
                <a16:creationId xmlns:a16="http://schemas.microsoft.com/office/drawing/2014/main" id="{D8BBD40E-64D2-BCDA-76FE-5479A1348319}"/>
              </a:ext>
            </a:extLst>
          </xdr:cNvPr>
          <xdr:cNvGraphicFramePr/>
        </xdr:nvGraphicFramePr>
        <xdr:xfrm>
          <a:off x="1367118" y="3765176"/>
          <a:ext cx="7037293" cy="3932144"/>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3" name="吹き出し: 角を丸めた四角形 2">
            <a:extLst>
              <a:ext uri="{FF2B5EF4-FFF2-40B4-BE49-F238E27FC236}">
                <a16:creationId xmlns:a16="http://schemas.microsoft.com/office/drawing/2014/main" id="{2203CEDF-C5D7-4B9D-9DA5-1A993CD22C77}"/>
              </a:ext>
            </a:extLst>
          </xdr:cNvPr>
          <xdr:cNvSpPr/>
        </xdr:nvSpPr>
        <xdr:spPr>
          <a:xfrm>
            <a:off x="4022913" y="3148853"/>
            <a:ext cx="1457403" cy="838926"/>
          </a:xfrm>
          <a:prstGeom prst="wedgeRoundRectCallou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全国と比較するときの基準</a:t>
            </a:r>
          </a:p>
        </xdr:txBody>
      </xdr:sp>
      <xdr:sp macro="" textlink="">
        <xdr:nvSpPr>
          <xdr:cNvPr id="4" name="吹き出し: 角を丸めた四角形 3">
            <a:extLst>
              <a:ext uri="{FF2B5EF4-FFF2-40B4-BE49-F238E27FC236}">
                <a16:creationId xmlns:a16="http://schemas.microsoft.com/office/drawing/2014/main" id="{E6469B69-A515-46C3-AFE9-925CE82FDF75}"/>
              </a:ext>
            </a:extLst>
          </xdr:cNvPr>
          <xdr:cNvSpPr/>
        </xdr:nvSpPr>
        <xdr:spPr>
          <a:xfrm>
            <a:off x="5504658" y="3160059"/>
            <a:ext cx="1612720" cy="818030"/>
          </a:xfrm>
          <a:prstGeom prst="wedgeRoundRectCallou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本省目標である</a:t>
            </a:r>
            <a:r>
              <a:rPr kumimoji="1" lang="en-US" altLang="ja-JP" sz="1050" b="1">
                <a:solidFill>
                  <a:sysClr val="windowText" lastClr="000000"/>
                </a:solidFill>
              </a:rPr>
              <a:t>208</a:t>
            </a:r>
            <a:r>
              <a:rPr kumimoji="1" lang="ja-JP" altLang="en-US" sz="1050" b="1">
                <a:solidFill>
                  <a:sysClr val="windowText" lastClr="000000"/>
                </a:solidFill>
              </a:rPr>
              <a:t>万</a:t>
            </a:r>
            <a:r>
              <a:rPr kumimoji="1" lang="en-US" altLang="ja-JP" sz="1050" b="1">
                <a:solidFill>
                  <a:sysClr val="windowText" lastClr="000000"/>
                </a:solidFill>
              </a:rPr>
              <a:t>-CO</a:t>
            </a:r>
            <a:r>
              <a:rPr kumimoji="1" lang="ja-JP" altLang="en-US" sz="1050" b="1">
                <a:solidFill>
                  <a:sysClr val="windowText" lastClr="000000"/>
                </a:solidFill>
              </a:rPr>
              <a:t>₂削減に対応する値</a:t>
            </a:r>
            <a:r>
              <a:rPr kumimoji="1" lang="en-US" altLang="ja-JP" sz="1050" b="1">
                <a:solidFill>
                  <a:sysClr val="windowText" lastClr="000000"/>
                </a:solidFill>
              </a:rPr>
              <a:t>)</a:t>
            </a:r>
            <a:endParaRPr kumimoji="1" lang="ja-JP" altLang="en-US" sz="1050" b="1">
              <a:solidFill>
                <a:sysClr val="windowText" lastClr="000000"/>
              </a:solidFill>
            </a:endParaRPr>
          </a:p>
        </xdr:txBody>
      </xdr:sp>
      <xdr:sp macro="" textlink="">
        <xdr:nvSpPr>
          <xdr:cNvPr id="5" name="吹き出し: 角を丸めた四角形 4">
            <a:extLst>
              <a:ext uri="{FF2B5EF4-FFF2-40B4-BE49-F238E27FC236}">
                <a16:creationId xmlns:a16="http://schemas.microsoft.com/office/drawing/2014/main" id="{EE6A61C5-66A2-45CD-9B00-44B5863AAEF8}"/>
              </a:ext>
            </a:extLst>
          </xdr:cNvPr>
          <xdr:cNvSpPr/>
        </xdr:nvSpPr>
        <xdr:spPr>
          <a:xfrm>
            <a:off x="7156076" y="3137647"/>
            <a:ext cx="1548055" cy="885265"/>
          </a:xfrm>
          <a:prstGeom prst="wedgeRoundRectCallou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本ツールで設定した対策を講じた時の排出量</a:t>
            </a:r>
          </a:p>
        </xdr:txBody>
      </xdr:sp>
    </xdr:grpSp>
    <xdr:clientData/>
  </xdr:twoCellAnchor>
  <xdr:oneCellAnchor>
    <xdr:from>
      <xdr:col>7</xdr:col>
      <xdr:colOff>793750</xdr:colOff>
      <xdr:row>23</xdr:row>
      <xdr:rowOff>0</xdr:rowOff>
    </xdr:from>
    <xdr:ext cx="2733967" cy="1272464"/>
    <xdr:sp macro="" textlink="">
      <xdr:nvSpPr>
        <xdr:cNvPr id="9" name="テキスト ボックス 8">
          <a:extLst>
            <a:ext uri="{FF2B5EF4-FFF2-40B4-BE49-F238E27FC236}">
              <a16:creationId xmlns:a16="http://schemas.microsoft.com/office/drawing/2014/main" id="{D888241D-FDDF-462B-AB22-217A0ED4C0EF}"/>
            </a:ext>
          </a:extLst>
        </xdr:cNvPr>
        <xdr:cNvSpPr txBox="1"/>
      </xdr:nvSpPr>
      <xdr:spPr>
        <a:xfrm>
          <a:off x="8588375" y="6048375"/>
          <a:ext cx="2733967" cy="1272464"/>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b="1">
              <a:solidFill>
                <a:srgbClr val="FF0000"/>
              </a:solidFill>
            </a:rPr>
            <a:t>注：電力消費にかかる温室効果ガス排出量は、</a:t>
          </a:r>
          <a:r>
            <a:rPr kumimoji="1" lang="en-US" altLang="ja-JP" sz="1100" b="1">
              <a:solidFill>
                <a:srgbClr val="FF0000"/>
              </a:solidFill>
            </a:rPr>
            <a:t>2030</a:t>
          </a:r>
          <a:r>
            <a:rPr kumimoji="1" lang="ja-JP" altLang="en-US" sz="1100" b="1">
              <a:solidFill>
                <a:srgbClr val="FF0000"/>
              </a:solidFill>
            </a:rPr>
            <a:t>年度の全電源平均の電力排出係数：</a:t>
          </a:r>
          <a:r>
            <a:rPr kumimoji="1" lang="en-US" altLang="ja-JP" sz="1100" b="1">
              <a:solidFill>
                <a:srgbClr val="FF0000"/>
              </a:solidFill>
            </a:rPr>
            <a:t>0.25kg-CO₂/kWh</a:t>
          </a:r>
        </a:p>
        <a:p>
          <a:r>
            <a:rPr kumimoji="1" lang="ja-JP" altLang="en-US" sz="1100" b="1">
              <a:solidFill>
                <a:srgbClr val="FF0000"/>
              </a:solidFill>
            </a:rPr>
            <a:t>（出典：</a:t>
          </a:r>
          <a:r>
            <a:rPr kumimoji="1" lang="en-US" altLang="ja-JP" sz="1100" b="1">
              <a:solidFill>
                <a:srgbClr val="FF0000"/>
              </a:solidFill>
            </a:rPr>
            <a:t>2030</a:t>
          </a:r>
          <a:r>
            <a:rPr kumimoji="1" lang="ja-JP" altLang="en-US" sz="1100" b="1">
              <a:solidFill>
                <a:srgbClr val="FF0000"/>
              </a:solidFill>
            </a:rPr>
            <a:t>年度におけるエネルギー需給の見通し）を用いて算出</a:t>
          </a:r>
        </a:p>
      </xdr:txBody>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10</xdr:row>
      <xdr:rowOff>0</xdr:rowOff>
    </xdr:from>
    <xdr:to>
      <xdr:col>5</xdr:col>
      <xdr:colOff>381049</xdr:colOff>
      <xdr:row>24</xdr:row>
      <xdr:rowOff>220526</xdr:rowOff>
    </xdr:to>
    <xdr:pic>
      <xdr:nvPicPr>
        <xdr:cNvPr id="4" name="図 3">
          <a:extLst>
            <a:ext uri="{FF2B5EF4-FFF2-40B4-BE49-F238E27FC236}">
              <a16:creationId xmlns:a16="http://schemas.microsoft.com/office/drawing/2014/main" id="{FDFFCA7B-798E-6EBC-3EAA-CCC37C14F619}"/>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85800" y="2447925"/>
          <a:ext cx="4962574" cy="355427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25</xdr:row>
      <xdr:rowOff>0</xdr:rowOff>
    </xdr:from>
    <xdr:to>
      <xdr:col>6</xdr:col>
      <xdr:colOff>348312</xdr:colOff>
      <xdr:row>51</xdr:row>
      <xdr:rowOff>179622</xdr:rowOff>
    </xdr:to>
    <xdr:pic>
      <xdr:nvPicPr>
        <xdr:cNvPr id="2" name="図 1">
          <a:extLst>
            <a:ext uri="{FF2B5EF4-FFF2-40B4-BE49-F238E27FC236}">
              <a16:creationId xmlns:a16="http://schemas.microsoft.com/office/drawing/2014/main" id="{6E2D605B-0B5C-A5E3-E2A9-19C3F2B2891E}"/>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85800" y="6515100"/>
          <a:ext cx="5291787" cy="637087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20</xdr:row>
      <xdr:rowOff>0</xdr:rowOff>
    </xdr:from>
    <xdr:to>
      <xdr:col>5</xdr:col>
      <xdr:colOff>528460</xdr:colOff>
      <xdr:row>47</xdr:row>
      <xdr:rowOff>169737</xdr:rowOff>
    </xdr:to>
    <xdr:pic>
      <xdr:nvPicPr>
        <xdr:cNvPr id="2" name="図 1">
          <a:extLst>
            <a:ext uri="{FF2B5EF4-FFF2-40B4-BE49-F238E27FC236}">
              <a16:creationId xmlns:a16="http://schemas.microsoft.com/office/drawing/2014/main" id="{A234EC85-F8A4-C5B8-87CC-9C183169C7F5}"/>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85800" y="4838700"/>
          <a:ext cx="4548010" cy="660863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20</xdr:row>
      <xdr:rowOff>0</xdr:rowOff>
    </xdr:from>
    <xdr:to>
      <xdr:col>6</xdr:col>
      <xdr:colOff>124648</xdr:colOff>
      <xdr:row>38</xdr:row>
      <xdr:rowOff>91057</xdr:rowOff>
    </xdr:to>
    <xdr:pic>
      <xdr:nvPicPr>
        <xdr:cNvPr id="2" name="図 1">
          <a:extLst>
            <a:ext uri="{FF2B5EF4-FFF2-40B4-BE49-F238E27FC236}">
              <a16:creationId xmlns:a16="http://schemas.microsoft.com/office/drawing/2014/main" id="{17E2A226-CAEC-7ED8-131E-CD5CCD680979}"/>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85800" y="4829175"/>
          <a:ext cx="5096698" cy="4377307"/>
        </a:xfrm>
        <a:prstGeom prst="rect">
          <a:avLst/>
        </a:prstGeom>
      </xdr:spPr>
    </xdr:pic>
    <xdr:clientData/>
  </xdr:twoCellAnchor>
  <xdr:twoCellAnchor editAs="oneCell">
    <xdr:from>
      <xdr:col>1</xdr:col>
      <xdr:colOff>0</xdr:colOff>
      <xdr:row>39</xdr:row>
      <xdr:rowOff>0</xdr:rowOff>
    </xdr:from>
    <xdr:to>
      <xdr:col>5</xdr:col>
      <xdr:colOff>833287</xdr:colOff>
      <xdr:row>68</xdr:row>
      <xdr:rowOff>215120</xdr:rowOff>
    </xdr:to>
    <xdr:pic>
      <xdr:nvPicPr>
        <xdr:cNvPr id="3" name="図 2">
          <a:extLst>
            <a:ext uri="{FF2B5EF4-FFF2-40B4-BE49-F238E27FC236}">
              <a16:creationId xmlns:a16="http://schemas.microsoft.com/office/drawing/2014/main" id="{4E431F3C-B5D0-4681-E126-F5F769FAB149}"/>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685800" y="9353550"/>
          <a:ext cx="4852837" cy="71207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900_&#36939;&#29992;\&#20445;&#23432;&#20316;&#26989;&#35352;&#37682;\2018-6822-H29&#19979;&#27700;&#36947;&#32113;&#35336;&#20316;&#25104;&#26989;&#21209;\85_&#26368;&#32066;&#25104;&#26524;&#29289;\01_Excel&#12487;&#12540;&#12479;\&#9675;H25_3-2&#20966;&#29702;&#22580;&#26045;&#35373;_1BD&#9632;VBA(&#34920;3-10)&#8592;&#9675;061&#31080;&#12289;&#9633;(102&#12539;151)&#3108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900_&#36939;&#29992;\&#20445;&#23432;&#20316;&#26989;&#35352;&#37682;\2018-6822-H29&#19979;&#27700;&#36947;&#32113;&#35336;&#20316;&#25104;&#26989;&#21209;\85_&#26368;&#32066;&#25104;&#26524;&#29289;\01_Excel&#12487;&#12540;&#12479;\H24_3-2&#20966;&#29702;&#22580;&#26045;&#35373;_1B(&#34920;3-10&#12539;21)&#8592;&#9675;(06-1&#12539;14&#31080;)&#12392;15-1&#38306;&#36899;&#12481;&#12455;&#12483;&#1246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900_&#36939;&#29992;\&#20445;&#23432;&#20316;&#26989;&#35352;&#37682;\2018-6822-H29&#19979;&#27700;&#36947;&#32113;&#35336;&#20316;&#25104;&#26989;&#21209;\85_&#26368;&#32066;&#25104;&#26524;&#29289;\01_Excel&#12487;&#12540;&#12479;\N&#24179;&#25104;21&#24180;&#24230;&#34892;&#25919;&#20154;&#21475;&#12539;&#26222;&#21450;&#29575;&#65288;10.09.21&#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3-10"/>
      <sheetName val="Sheet1"/>
      <sheetName val="休廃止等一覧"/>
      <sheetName val="06-1処理場施設"/>
      <sheetName val="前年度06-1"/>
      <sheetName val="10-2_Code"/>
      <sheetName val="15-1汚泥処理"/>
    </sheetNames>
    <sheetDataSet>
      <sheetData sheetId="0">
        <row r="1">
          <cell r="U1">
            <v>0</v>
          </cell>
        </row>
        <row r="6">
          <cell r="W6">
            <v>1</v>
          </cell>
          <cell r="X6" t="str">
            <v>公共</v>
          </cell>
        </row>
        <row r="7">
          <cell r="W7">
            <v>2</v>
          </cell>
          <cell r="X7" t="str">
            <v>特環</v>
          </cell>
        </row>
        <row r="8">
          <cell r="W8">
            <v>3</v>
          </cell>
          <cell r="X8" t="str">
            <v>特定</v>
          </cell>
        </row>
        <row r="9">
          <cell r="W9">
            <v>4</v>
          </cell>
          <cell r="X9" t="str">
            <v>流域</v>
          </cell>
        </row>
      </sheetData>
      <sheetData sheetId="1"/>
      <sheetData sheetId="2"/>
      <sheetData sheetId="3"/>
      <sheetData sheetId="4">
        <row r="3">
          <cell r="B3" t="str">
            <v>G010018106100100</v>
          </cell>
          <cell r="C3" t="str">
            <v>01.北海道</v>
          </cell>
          <cell r="D3" t="str">
            <v>001</v>
          </cell>
          <cell r="E3" t="str">
            <v>石狩川流域</v>
          </cell>
          <cell r="F3" t="str">
            <v>81</v>
          </cell>
          <cell r="G3" t="str">
            <v>流域</v>
          </cell>
          <cell r="H3" t="str">
            <v>流域下水道</v>
          </cell>
          <cell r="I3" t="str">
            <v/>
          </cell>
          <cell r="J3" t="str">
            <v>001</v>
          </cell>
          <cell r="K3" t="str">
            <v>奈井江浄化センター</v>
          </cell>
          <cell r="M3" t="str">
            <v>1</v>
          </cell>
          <cell r="N3" t="str">
            <v>1</v>
          </cell>
          <cell r="O3" t="str">
            <v>1</v>
          </cell>
          <cell r="P3" t="str">
            <v>1</v>
          </cell>
          <cell r="Q3">
            <v>31472</v>
          </cell>
          <cell r="R3" t="str">
            <v>昭和</v>
          </cell>
          <cell r="S3">
            <v>61</v>
          </cell>
          <cell r="T3">
            <v>3</v>
          </cell>
          <cell r="AB3">
            <v>469500</v>
          </cell>
          <cell r="AC3" t="str">
            <v>石狩川中流・下流</v>
          </cell>
          <cell r="AD3" t="str">
            <v>Ｂ</v>
          </cell>
          <cell r="AE3" t="str">
            <v>ロ</v>
          </cell>
          <cell r="AF3">
            <v>15</v>
          </cell>
          <cell r="AK3" t="str">
            <v>石狩川</v>
          </cell>
          <cell r="AQ3" t="str">
            <v/>
          </cell>
          <cell r="AR3" t="str">
            <v>標準活性汚泥法</v>
          </cell>
          <cell r="AS3" t="str">
            <v>0100181001</v>
          </cell>
          <cell r="AT3" t="str">
            <v/>
          </cell>
          <cell r="AU3" t="str">
            <v>11</v>
          </cell>
          <cell r="AV3" t="str">
            <v>11</v>
          </cell>
          <cell r="AW3">
            <v>1</v>
          </cell>
          <cell r="AX3">
            <v>0</v>
          </cell>
          <cell r="AY3">
            <v>0</v>
          </cell>
          <cell r="AZ3">
            <v>0</v>
          </cell>
          <cell r="BA3">
            <v>0</v>
          </cell>
          <cell r="BD3" t="str">
            <v/>
          </cell>
          <cell r="BE3">
            <v>1</v>
          </cell>
          <cell r="BG3" t="str">
            <v>1111</v>
          </cell>
        </row>
        <row r="4">
          <cell r="B4" t="str">
            <v>G010028106100100</v>
          </cell>
          <cell r="C4" t="str">
            <v>01.北海道</v>
          </cell>
          <cell r="D4" t="str">
            <v>002</v>
          </cell>
          <cell r="E4" t="str">
            <v>十勝川流域</v>
          </cell>
          <cell r="F4" t="str">
            <v>81</v>
          </cell>
          <cell r="G4" t="str">
            <v>流域</v>
          </cell>
          <cell r="H4" t="str">
            <v>流域下水道</v>
          </cell>
          <cell r="I4" t="str">
            <v/>
          </cell>
          <cell r="J4" t="str">
            <v>001</v>
          </cell>
          <cell r="K4" t="str">
            <v>十勝川流域下水道浄化センター</v>
          </cell>
          <cell r="M4" t="str">
            <v>1</v>
          </cell>
          <cell r="N4" t="str">
            <v>1</v>
          </cell>
          <cell r="O4" t="str">
            <v>1</v>
          </cell>
          <cell r="Q4">
            <v>29221</v>
          </cell>
          <cell r="R4" t="str">
            <v>昭和</v>
          </cell>
          <cell r="S4">
            <v>55</v>
          </cell>
          <cell r="T4">
            <v>1</v>
          </cell>
          <cell r="AB4">
            <v>103480</v>
          </cell>
          <cell r="AC4" t="str">
            <v>十勝川流域</v>
          </cell>
          <cell r="AD4" t="str">
            <v>Ｂ</v>
          </cell>
          <cell r="AE4" t="str">
            <v>ロ</v>
          </cell>
          <cell r="AF4">
            <v>15</v>
          </cell>
          <cell r="AK4" t="str">
            <v>十勝川</v>
          </cell>
          <cell r="AQ4" t="str">
            <v/>
          </cell>
          <cell r="AR4" t="str">
            <v>標準活性汚泥法</v>
          </cell>
          <cell r="AS4" t="str">
            <v>0100281001</v>
          </cell>
          <cell r="AT4" t="str">
            <v/>
          </cell>
          <cell r="AU4" t="str">
            <v>11</v>
          </cell>
          <cell r="AV4" t="str">
            <v>11</v>
          </cell>
          <cell r="AW4">
            <v>0</v>
          </cell>
          <cell r="AX4">
            <v>0</v>
          </cell>
          <cell r="AY4">
            <v>0</v>
          </cell>
          <cell r="AZ4">
            <v>0</v>
          </cell>
          <cell r="BA4">
            <v>0</v>
          </cell>
          <cell r="BD4" t="str">
            <v/>
          </cell>
          <cell r="BE4">
            <v>1</v>
          </cell>
          <cell r="BG4" t="str">
            <v>1110</v>
          </cell>
        </row>
        <row r="5">
          <cell r="B5" t="str">
            <v>G010038106100100</v>
          </cell>
          <cell r="C5" t="str">
            <v>01.北海道</v>
          </cell>
          <cell r="D5" t="str">
            <v>003</v>
          </cell>
          <cell r="E5" t="str">
            <v>函館湾流域</v>
          </cell>
          <cell r="F5" t="str">
            <v>81</v>
          </cell>
          <cell r="G5" t="str">
            <v>流域</v>
          </cell>
          <cell r="H5" t="str">
            <v>流域下水道</v>
          </cell>
          <cell r="I5" t="str">
            <v/>
          </cell>
          <cell r="J5" t="str">
            <v>001</v>
          </cell>
          <cell r="K5" t="str">
            <v>函館湾浄化センター</v>
          </cell>
          <cell r="M5" t="str">
            <v>1</v>
          </cell>
          <cell r="N5" t="str">
            <v>1</v>
          </cell>
          <cell r="O5" t="str">
            <v>1</v>
          </cell>
          <cell r="Q5">
            <v>32933</v>
          </cell>
          <cell r="R5" t="str">
            <v>平成</v>
          </cell>
          <cell r="S5">
            <v>2</v>
          </cell>
          <cell r="T5">
            <v>3</v>
          </cell>
          <cell r="AB5">
            <v>142757</v>
          </cell>
          <cell r="AC5" t="str">
            <v>函館海域(1)</v>
          </cell>
          <cell r="AD5" t="str">
            <v>Ｃ-Ⅲ</v>
          </cell>
          <cell r="AE5" t="str">
            <v>イ</v>
          </cell>
          <cell r="AF5">
            <v>15</v>
          </cell>
          <cell r="AI5" t="str">
            <v>函館湾</v>
          </cell>
          <cell r="AQ5" t="str">
            <v/>
          </cell>
          <cell r="AR5" t="str">
            <v>標準活性汚泥法</v>
          </cell>
          <cell r="AS5" t="str">
            <v>0100381001</v>
          </cell>
          <cell r="AT5" t="str">
            <v/>
          </cell>
          <cell r="AU5" t="str">
            <v>11</v>
          </cell>
          <cell r="AV5" t="str">
            <v>11</v>
          </cell>
          <cell r="AW5">
            <v>0</v>
          </cell>
          <cell r="AX5">
            <v>0</v>
          </cell>
          <cell r="AY5">
            <v>0</v>
          </cell>
          <cell r="AZ5">
            <v>0</v>
          </cell>
          <cell r="BA5">
            <v>0</v>
          </cell>
          <cell r="BD5" t="str">
            <v/>
          </cell>
          <cell r="BE5">
            <v>1</v>
          </cell>
          <cell r="BG5" t="str">
            <v>1110</v>
          </cell>
        </row>
        <row r="6">
          <cell r="B6" t="str">
            <v>G010210306100100</v>
          </cell>
          <cell r="C6" t="str">
            <v>01.北海道</v>
          </cell>
          <cell r="D6" t="str">
            <v>021</v>
          </cell>
          <cell r="E6" t="str">
            <v>石狩湾新港</v>
          </cell>
          <cell r="F6" t="str">
            <v>03</v>
          </cell>
          <cell r="G6" t="str">
            <v>特定 単独</v>
          </cell>
          <cell r="H6" t="str">
            <v>特定公共下水道</v>
          </cell>
          <cell r="I6" t="str">
            <v>単独</v>
          </cell>
          <cell r="J6" t="str">
            <v>001</v>
          </cell>
          <cell r="K6" t="str">
            <v>石狩湾浄化センター</v>
          </cell>
          <cell r="M6" t="str">
            <v>1</v>
          </cell>
          <cell r="N6" t="str">
            <v>1</v>
          </cell>
          <cell r="Q6">
            <v>30682</v>
          </cell>
          <cell r="R6" t="str">
            <v>昭和</v>
          </cell>
          <cell r="S6">
            <v>59</v>
          </cell>
          <cell r="T6">
            <v>1</v>
          </cell>
          <cell r="AB6">
            <v>134399</v>
          </cell>
          <cell r="AC6" t="str">
            <v>石狩海域(1)</v>
          </cell>
          <cell r="AD6" t="str">
            <v>Ｃ</v>
          </cell>
          <cell r="AE6" t="str">
            <v>イ</v>
          </cell>
          <cell r="AF6">
            <v>15</v>
          </cell>
          <cell r="AI6" t="str">
            <v>石狩湾</v>
          </cell>
          <cell r="AQ6" t="str">
            <v/>
          </cell>
          <cell r="AR6" t="str">
            <v>標準活性汚泥法</v>
          </cell>
          <cell r="AS6" t="str">
            <v>0102103001</v>
          </cell>
          <cell r="AT6" t="str">
            <v/>
          </cell>
          <cell r="AU6" t="str">
            <v>10</v>
          </cell>
          <cell r="AV6" t="str">
            <v>10</v>
          </cell>
          <cell r="AW6">
            <v>0</v>
          </cell>
          <cell r="AX6">
            <v>0</v>
          </cell>
          <cell r="AY6">
            <v>0</v>
          </cell>
          <cell r="AZ6">
            <v>0</v>
          </cell>
          <cell r="BA6">
            <v>0</v>
          </cell>
          <cell r="BD6" t="str">
            <v/>
          </cell>
          <cell r="BE6">
            <v>1</v>
          </cell>
          <cell r="BG6" t="str">
            <v>1100</v>
          </cell>
        </row>
        <row r="7">
          <cell r="B7" t="str">
            <v>G011000106100100</v>
          </cell>
          <cell r="C7" t="str">
            <v>01.北海道</v>
          </cell>
          <cell r="D7" t="str">
            <v>100</v>
          </cell>
          <cell r="E7" t="str">
            <v>札幌市</v>
          </cell>
          <cell r="F7" t="str">
            <v>01</v>
          </cell>
          <cell r="G7" t="str">
            <v>公共 単独</v>
          </cell>
          <cell r="H7" t="str">
            <v>公共下水道</v>
          </cell>
          <cell r="I7" t="str">
            <v>単独</v>
          </cell>
          <cell r="J7" t="str">
            <v>001</v>
          </cell>
          <cell r="K7" t="str">
            <v>創成川水再生プラザ</v>
          </cell>
          <cell r="M7" t="str">
            <v>1</v>
          </cell>
          <cell r="P7" t="str">
            <v>1</v>
          </cell>
          <cell r="Q7">
            <v>24563</v>
          </cell>
          <cell r="R7" t="str">
            <v>昭和</v>
          </cell>
          <cell r="S7">
            <v>42</v>
          </cell>
          <cell r="T7">
            <v>4</v>
          </cell>
          <cell r="AB7">
            <v>70854</v>
          </cell>
          <cell r="AC7" t="str">
            <v>茨戸川中流</v>
          </cell>
          <cell r="AD7" t="str">
            <v>Ｂ</v>
          </cell>
          <cell r="AE7" t="str">
            <v>ハ</v>
          </cell>
          <cell r="AF7">
            <v>6</v>
          </cell>
          <cell r="AI7" t="str">
            <v>創成川</v>
          </cell>
          <cell r="AK7" t="str">
            <v>茨戸川</v>
          </cell>
          <cell r="AQ7" t="str">
            <v/>
          </cell>
          <cell r="AR7" t="str">
            <v>標準活性汚泥法</v>
          </cell>
          <cell r="AS7" t="str">
            <v>0110001001</v>
          </cell>
          <cell r="AT7" t="str">
            <v/>
          </cell>
          <cell r="AU7" t="str">
            <v>00</v>
          </cell>
          <cell r="AV7" t="str">
            <v>00</v>
          </cell>
          <cell r="AW7">
            <v>1</v>
          </cell>
          <cell r="AX7">
            <v>0</v>
          </cell>
          <cell r="AY7">
            <v>0</v>
          </cell>
          <cell r="AZ7">
            <v>0</v>
          </cell>
          <cell r="BA7">
            <v>0</v>
          </cell>
          <cell r="BD7" t="str">
            <v/>
          </cell>
          <cell r="BE7">
            <v>1</v>
          </cell>
          <cell r="BG7" t="str">
            <v>1001</v>
          </cell>
        </row>
        <row r="8">
          <cell r="B8" t="str">
            <v>G011000106100200</v>
          </cell>
          <cell r="C8" t="str">
            <v>01.北海道</v>
          </cell>
          <cell r="D8" t="str">
            <v>100</v>
          </cell>
          <cell r="E8" t="str">
            <v>札幌市</v>
          </cell>
          <cell r="F8" t="str">
            <v>01</v>
          </cell>
          <cell r="G8" t="str">
            <v>公共 単独</v>
          </cell>
          <cell r="H8" t="str">
            <v>公共下水道</v>
          </cell>
          <cell r="I8" t="str">
            <v>単独</v>
          </cell>
          <cell r="J8" t="str">
            <v>002</v>
          </cell>
          <cell r="K8" t="str">
            <v>伏古川水再生プラザ</v>
          </cell>
          <cell r="M8" t="str">
            <v>1</v>
          </cell>
          <cell r="P8" t="str">
            <v>1</v>
          </cell>
          <cell r="Q8">
            <v>24929</v>
          </cell>
          <cell r="R8" t="str">
            <v>昭和</v>
          </cell>
          <cell r="S8">
            <v>43</v>
          </cell>
          <cell r="T8">
            <v>4</v>
          </cell>
          <cell r="AB8">
            <v>30682</v>
          </cell>
          <cell r="AC8" t="str">
            <v>伏籠川</v>
          </cell>
          <cell r="AF8">
            <v>10</v>
          </cell>
          <cell r="AI8" t="str">
            <v>伏籠川</v>
          </cell>
          <cell r="AK8" t="str">
            <v>茨戸川</v>
          </cell>
          <cell r="AQ8" t="str">
            <v/>
          </cell>
          <cell r="AR8" t="str">
            <v>ステップ流入式多段硝化脱窒法</v>
          </cell>
          <cell r="AS8" t="str">
            <v>0110001002</v>
          </cell>
          <cell r="AT8" t="str">
            <v/>
          </cell>
          <cell r="AU8" t="str">
            <v>00</v>
          </cell>
          <cell r="AV8" t="str">
            <v>00</v>
          </cell>
          <cell r="AW8">
            <v>1</v>
          </cell>
          <cell r="AX8">
            <v>0</v>
          </cell>
          <cell r="AY8">
            <v>0</v>
          </cell>
          <cell r="AZ8">
            <v>0</v>
          </cell>
          <cell r="BA8">
            <v>0</v>
          </cell>
          <cell r="BD8" t="str">
            <v/>
          </cell>
          <cell r="BE8">
            <v>1</v>
          </cell>
          <cell r="BG8" t="str">
            <v>1001</v>
          </cell>
        </row>
        <row r="9">
          <cell r="B9" t="str">
            <v>G011000106100300</v>
          </cell>
          <cell r="C9" t="str">
            <v>01.北海道</v>
          </cell>
          <cell r="D9" t="str">
            <v>100</v>
          </cell>
          <cell r="E9" t="str">
            <v>札幌市</v>
          </cell>
          <cell r="F9" t="str">
            <v>01</v>
          </cell>
          <cell r="G9" t="str">
            <v>公共 単独</v>
          </cell>
          <cell r="H9" t="str">
            <v>公共下水道</v>
          </cell>
          <cell r="I9" t="str">
            <v>単独</v>
          </cell>
          <cell r="J9" t="str">
            <v>003</v>
          </cell>
          <cell r="K9" t="str">
            <v>豊平川水再生プラザ</v>
          </cell>
          <cell r="M9" t="str">
            <v>1</v>
          </cell>
          <cell r="P9" t="str">
            <v>1</v>
          </cell>
          <cell r="Q9">
            <v>25842</v>
          </cell>
          <cell r="R9" t="str">
            <v>昭和</v>
          </cell>
          <cell r="S9">
            <v>45</v>
          </cell>
          <cell r="T9">
            <v>10</v>
          </cell>
          <cell r="AB9">
            <v>88578</v>
          </cell>
          <cell r="AC9" t="str">
            <v>豊平川下流</v>
          </cell>
          <cell r="AD9" t="str">
            <v>Ｂ</v>
          </cell>
          <cell r="AE9" t="str">
            <v>ハ</v>
          </cell>
          <cell r="AF9">
            <v>15</v>
          </cell>
          <cell r="AI9" t="str">
            <v>望月寒川</v>
          </cell>
          <cell r="AK9" t="str">
            <v>豊平川</v>
          </cell>
          <cell r="AQ9" t="str">
            <v/>
          </cell>
          <cell r="AR9" t="str">
            <v>標準活性汚泥法</v>
          </cell>
          <cell r="AS9" t="str">
            <v>0110001003</v>
          </cell>
          <cell r="AT9" t="str">
            <v/>
          </cell>
          <cell r="AU9" t="str">
            <v>00</v>
          </cell>
          <cell r="AV9" t="str">
            <v>00</v>
          </cell>
          <cell r="AW9">
            <v>1</v>
          </cell>
          <cell r="AX9">
            <v>0</v>
          </cell>
          <cell r="AY9">
            <v>0</v>
          </cell>
          <cell r="AZ9">
            <v>0</v>
          </cell>
          <cell r="BA9">
            <v>0</v>
          </cell>
          <cell r="BD9" t="str">
            <v/>
          </cell>
          <cell r="BE9">
            <v>1</v>
          </cell>
          <cell r="BG9" t="str">
            <v>1001</v>
          </cell>
        </row>
        <row r="10">
          <cell r="B10" t="str">
            <v>G011000106100400</v>
          </cell>
          <cell r="C10" t="str">
            <v>01.北海道</v>
          </cell>
          <cell r="D10" t="str">
            <v>100</v>
          </cell>
          <cell r="E10" t="str">
            <v>札幌市</v>
          </cell>
          <cell r="F10" t="str">
            <v>01</v>
          </cell>
          <cell r="G10" t="str">
            <v>公共 単独</v>
          </cell>
          <cell r="H10" t="str">
            <v>公共下水道</v>
          </cell>
          <cell r="I10" t="str">
            <v>単独</v>
          </cell>
          <cell r="J10" t="str">
            <v>004</v>
          </cell>
          <cell r="K10" t="str">
            <v>定山渓水再生プラザ</v>
          </cell>
          <cell r="M10" t="str">
            <v>1</v>
          </cell>
          <cell r="N10" t="str">
            <v>1</v>
          </cell>
          <cell r="Q10">
            <v>25842</v>
          </cell>
          <cell r="R10" t="str">
            <v>昭和</v>
          </cell>
          <cell r="S10">
            <v>45</v>
          </cell>
          <cell r="T10">
            <v>10</v>
          </cell>
          <cell r="AB10">
            <v>13181</v>
          </cell>
          <cell r="AC10" t="str">
            <v>豊平川上流</v>
          </cell>
          <cell r="AD10" t="str">
            <v>Ａ</v>
          </cell>
          <cell r="AE10" t="str">
            <v>イ</v>
          </cell>
          <cell r="AF10">
            <v>15</v>
          </cell>
          <cell r="AK10" t="str">
            <v>豊平川</v>
          </cell>
          <cell r="AL10" t="str">
            <v>白川取水口</v>
          </cell>
          <cell r="AN10">
            <v>10.4</v>
          </cell>
          <cell r="AO10" t="str">
            <v>札幌市</v>
          </cell>
          <cell r="AQ10" t="str">
            <v/>
          </cell>
          <cell r="AR10" t="str">
            <v>標準活性汚泥法</v>
          </cell>
          <cell r="AS10" t="str">
            <v>0110001004</v>
          </cell>
          <cell r="AT10" t="str">
            <v/>
          </cell>
          <cell r="AU10" t="str">
            <v>10</v>
          </cell>
          <cell r="AV10" t="str">
            <v>10</v>
          </cell>
          <cell r="AW10">
            <v>0</v>
          </cell>
          <cell r="AX10">
            <v>0</v>
          </cell>
          <cell r="AY10">
            <v>0</v>
          </cell>
          <cell r="AZ10">
            <v>0</v>
          </cell>
          <cell r="BA10">
            <v>0</v>
          </cell>
          <cell r="BD10" t="str">
            <v/>
          </cell>
          <cell r="BE10">
            <v>1</v>
          </cell>
          <cell r="BG10" t="str">
            <v>1100</v>
          </cell>
        </row>
        <row r="11">
          <cell r="B11" t="str">
            <v>G011000106100500</v>
          </cell>
          <cell r="C11" t="str">
            <v>01.北海道</v>
          </cell>
          <cell r="D11" t="str">
            <v>100</v>
          </cell>
          <cell r="E11" t="str">
            <v>札幌市</v>
          </cell>
          <cell r="F11" t="str">
            <v>01</v>
          </cell>
          <cell r="G11" t="str">
            <v>公共 単独</v>
          </cell>
          <cell r="H11" t="str">
            <v>公共下水道</v>
          </cell>
          <cell r="I11" t="str">
            <v>単独</v>
          </cell>
          <cell r="J11" t="str">
            <v>005</v>
          </cell>
          <cell r="K11" t="str">
            <v>新川水再生プラザ</v>
          </cell>
          <cell r="M11" t="str">
            <v>1</v>
          </cell>
          <cell r="P11" t="str">
            <v>1</v>
          </cell>
          <cell r="Q11">
            <v>26177</v>
          </cell>
          <cell r="R11" t="str">
            <v>昭和</v>
          </cell>
          <cell r="S11">
            <v>46</v>
          </cell>
          <cell r="T11">
            <v>9</v>
          </cell>
          <cell r="AB11">
            <v>100289</v>
          </cell>
          <cell r="AC11" t="str">
            <v>新川下流</v>
          </cell>
          <cell r="AD11" t="str">
            <v>Ｄ</v>
          </cell>
          <cell r="AE11" t="str">
            <v>イ</v>
          </cell>
          <cell r="AF11">
            <v>15</v>
          </cell>
          <cell r="AI11" t="str">
            <v>琴似川</v>
          </cell>
          <cell r="AJ11" t="str">
            <v>新川</v>
          </cell>
          <cell r="AQ11" t="str">
            <v/>
          </cell>
          <cell r="AR11" t="str">
            <v>標準活性汚泥法</v>
          </cell>
          <cell r="AS11" t="str">
            <v>0110001005</v>
          </cell>
          <cell r="AT11" t="str">
            <v/>
          </cell>
          <cell r="AU11" t="str">
            <v>00</v>
          </cell>
          <cell r="AV11" t="str">
            <v>00</v>
          </cell>
          <cell r="AW11">
            <v>1</v>
          </cell>
          <cell r="AX11">
            <v>0</v>
          </cell>
          <cell r="AY11">
            <v>0</v>
          </cell>
          <cell r="AZ11">
            <v>0</v>
          </cell>
          <cell r="BA11">
            <v>0</v>
          </cell>
          <cell r="BD11" t="str">
            <v/>
          </cell>
          <cell r="BE11">
            <v>1</v>
          </cell>
          <cell r="BG11" t="str">
            <v>1001</v>
          </cell>
        </row>
        <row r="12">
          <cell r="B12" t="str">
            <v>G011000106100600</v>
          </cell>
          <cell r="C12" t="str">
            <v>01.北海道</v>
          </cell>
          <cell r="D12" t="str">
            <v>100</v>
          </cell>
          <cell r="E12" t="str">
            <v>札幌市</v>
          </cell>
          <cell r="F12" t="str">
            <v>01</v>
          </cell>
          <cell r="G12" t="str">
            <v>公共 単独</v>
          </cell>
          <cell r="H12" t="str">
            <v>公共下水道</v>
          </cell>
          <cell r="I12" t="str">
            <v>単独</v>
          </cell>
          <cell r="J12" t="str">
            <v>006</v>
          </cell>
          <cell r="K12" t="str">
            <v>厚別水再生プラザ</v>
          </cell>
          <cell r="M12" t="str">
            <v>1</v>
          </cell>
          <cell r="N12" t="str">
            <v>1</v>
          </cell>
          <cell r="P12" t="str">
            <v>1</v>
          </cell>
          <cell r="Q12">
            <v>26938</v>
          </cell>
          <cell r="R12" t="str">
            <v>昭和</v>
          </cell>
          <cell r="S12">
            <v>48</v>
          </cell>
          <cell r="T12">
            <v>10</v>
          </cell>
          <cell r="AB12">
            <v>92479</v>
          </cell>
          <cell r="AC12" t="str">
            <v>豊平川下流</v>
          </cell>
          <cell r="AD12" t="str">
            <v>Ｂ</v>
          </cell>
          <cell r="AE12" t="str">
            <v>ハ</v>
          </cell>
          <cell r="AF12">
            <v>15</v>
          </cell>
          <cell r="AI12" t="str">
            <v>野津幌川</v>
          </cell>
          <cell r="AK12" t="str">
            <v>豊平川</v>
          </cell>
          <cell r="AQ12" t="str">
            <v/>
          </cell>
          <cell r="AR12" t="str">
            <v>標準活性汚泥法</v>
          </cell>
          <cell r="AS12" t="str">
            <v>0110001006</v>
          </cell>
          <cell r="AT12" t="str">
            <v/>
          </cell>
          <cell r="AU12" t="str">
            <v>10</v>
          </cell>
          <cell r="AV12" t="str">
            <v>10</v>
          </cell>
          <cell r="AW12">
            <v>1</v>
          </cell>
          <cell r="AX12">
            <v>0</v>
          </cell>
          <cell r="AY12">
            <v>0</v>
          </cell>
          <cell r="AZ12">
            <v>0</v>
          </cell>
          <cell r="BA12">
            <v>0</v>
          </cell>
          <cell r="BD12" t="str">
            <v/>
          </cell>
          <cell r="BE12">
            <v>1</v>
          </cell>
          <cell r="BG12" t="str">
            <v>1101</v>
          </cell>
        </row>
        <row r="13">
          <cell r="B13" t="str">
            <v>G011000106100700</v>
          </cell>
          <cell r="C13" t="str">
            <v>01.北海道</v>
          </cell>
          <cell r="D13" t="str">
            <v>100</v>
          </cell>
          <cell r="E13" t="str">
            <v>札幌市</v>
          </cell>
          <cell r="F13" t="str">
            <v>01</v>
          </cell>
          <cell r="G13" t="str">
            <v>公共 単独</v>
          </cell>
          <cell r="H13" t="str">
            <v>公共下水道</v>
          </cell>
          <cell r="I13" t="str">
            <v>単独</v>
          </cell>
          <cell r="J13" t="str">
            <v>007</v>
          </cell>
          <cell r="K13" t="str">
            <v>茨戸水再生プラザ</v>
          </cell>
          <cell r="M13" t="str">
            <v>1</v>
          </cell>
          <cell r="Q13">
            <v>28338</v>
          </cell>
          <cell r="R13" t="str">
            <v>昭和</v>
          </cell>
          <cell r="S13">
            <v>52</v>
          </cell>
          <cell r="T13">
            <v>8</v>
          </cell>
          <cell r="AB13">
            <v>169950</v>
          </cell>
          <cell r="AC13" t="str">
            <v>茨戸川中流</v>
          </cell>
          <cell r="AD13" t="str">
            <v>Ｂ</v>
          </cell>
          <cell r="AE13" t="str">
            <v>ハ</v>
          </cell>
          <cell r="AF13">
            <v>15</v>
          </cell>
          <cell r="AK13" t="str">
            <v>茨戸川</v>
          </cell>
          <cell r="AQ13" t="str">
            <v/>
          </cell>
          <cell r="AR13" t="str">
            <v>標準活性汚泥法</v>
          </cell>
          <cell r="AS13" t="str">
            <v>0110001007</v>
          </cell>
          <cell r="AT13" t="str">
            <v/>
          </cell>
          <cell r="AU13" t="str">
            <v>00</v>
          </cell>
          <cell r="AV13" t="str">
            <v>00</v>
          </cell>
          <cell r="AW13">
            <v>0</v>
          </cell>
          <cell r="AX13">
            <v>0</v>
          </cell>
          <cell r="AY13">
            <v>0</v>
          </cell>
          <cell r="AZ13">
            <v>0</v>
          </cell>
          <cell r="BA13">
            <v>0</v>
          </cell>
          <cell r="BB13" t="str">
            <v>濃縮休止</v>
          </cell>
          <cell r="BD13" t="str">
            <v>濃縮休止</v>
          </cell>
          <cell r="BE13">
            <v>1</v>
          </cell>
          <cell r="BG13" t="str">
            <v>1000</v>
          </cell>
        </row>
        <row r="14">
          <cell r="B14" t="str">
            <v>G011000106100800</v>
          </cell>
          <cell r="C14" t="str">
            <v>01.北海道</v>
          </cell>
          <cell r="D14" t="str">
            <v>100</v>
          </cell>
          <cell r="E14" t="str">
            <v>札幌市</v>
          </cell>
          <cell r="F14" t="str">
            <v>01</v>
          </cell>
          <cell r="G14" t="str">
            <v>公共 単独</v>
          </cell>
          <cell r="H14" t="str">
            <v>公共下水道</v>
          </cell>
          <cell r="I14" t="str">
            <v>単独</v>
          </cell>
          <cell r="J14" t="str">
            <v>008</v>
          </cell>
          <cell r="K14" t="str">
            <v>手稲水再生プラザ</v>
          </cell>
          <cell r="M14" t="str">
            <v>1</v>
          </cell>
          <cell r="Q14">
            <v>28642</v>
          </cell>
          <cell r="R14" t="str">
            <v>昭和</v>
          </cell>
          <cell r="S14">
            <v>53</v>
          </cell>
          <cell r="T14">
            <v>6</v>
          </cell>
          <cell r="AB14">
            <v>103272</v>
          </cell>
          <cell r="AC14" t="str">
            <v>新川下流</v>
          </cell>
          <cell r="AD14" t="str">
            <v>Ｄ</v>
          </cell>
          <cell r="AE14" t="str">
            <v>イ</v>
          </cell>
          <cell r="AF14">
            <v>15</v>
          </cell>
          <cell r="AJ14" t="str">
            <v>新川</v>
          </cell>
          <cell r="AQ14" t="str">
            <v/>
          </cell>
          <cell r="AR14" t="str">
            <v>標準活性汚泥法</v>
          </cell>
          <cell r="AS14" t="str">
            <v>0110001008</v>
          </cell>
          <cell r="AT14" t="str">
            <v/>
          </cell>
          <cell r="AU14" t="str">
            <v>00</v>
          </cell>
          <cell r="AV14" t="str">
            <v>00</v>
          </cell>
          <cell r="AW14">
            <v>0</v>
          </cell>
          <cell r="AX14">
            <v>0</v>
          </cell>
          <cell r="AY14">
            <v>0</v>
          </cell>
          <cell r="AZ14">
            <v>0</v>
          </cell>
          <cell r="BA14">
            <v>0</v>
          </cell>
          <cell r="BD14" t="str">
            <v/>
          </cell>
          <cell r="BE14">
            <v>1</v>
          </cell>
          <cell r="BG14" t="str">
            <v>1000</v>
          </cell>
        </row>
        <row r="15">
          <cell r="B15" t="str">
            <v>G011000106100900</v>
          </cell>
          <cell r="C15" t="str">
            <v>01.北海道</v>
          </cell>
          <cell r="D15" t="str">
            <v>100</v>
          </cell>
          <cell r="E15" t="str">
            <v>札幌市</v>
          </cell>
          <cell r="F15" t="str">
            <v>01</v>
          </cell>
          <cell r="G15" t="str">
            <v>公共 単独</v>
          </cell>
          <cell r="H15" t="str">
            <v>公共下水道</v>
          </cell>
          <cell r="I15" t="str">
            <v>単独</v>
          </cell>
          <cell r="J15" t="str">
            <v>009</v>
          </cell>
          <cell r="K15" t="str">
            <v>西部スラッジセンター</v>
          </cell>
          <cell r="N15" t="str">
            <v>1</v>
          </cell>
          <cell r="Q15">
            <v>30407</v>
          </cell>
          <cell r="R15" t="str">
            <v>昭和</v>
          </cell>
          <cell r="S15">
            <v>58</v>
          </cell>
          <cell r="T15">
            <v>4</v>
          </cell>
          <cell r="AB15">
            <v>86913</v>
          </cell>
          <cell r="AC15" t="str">
            <v>該当しない</v>
          </cell>
          <cell r="AI15" t="str">
            <v>該当しない</v>
          </cell>
          <cell r="AQ15" t="str">
            <v/>
          </cell>
          <cell r="AR15" t="str">
            <v/>
          </cell>
          <cell r="AS15" t="str">
            <v>0110001009</v>
          </cell>
          <cell r="AT15" t="str">
            <v/>
          </cell>
          <cell r="AU15" t="str">
            <v>10</v>
          </cell>
          <cell r="AV15" t="str">
            <v>10</v>
          </cell>
          <cell r="AW15">
            <v>0</v>
          </cell>
          <cell r="AX15">
            <v>0</v>
          </cell>
          <cell r="AY15">
            <v>0</v>
          </cell>
          <cell r="AZ15">
            <v>0</v>
          </cell>
          <cell r="BA15">
            <v>0</v>
          </cell>
          <cell r="BD15" t="str">
            <v/>
          </cell>
          <cell r="BE15">
            <v>1</v>
          </cell>
          <cell r="BG15" t="str">
            <v>0100</v>
          </cell>
        </row>
        <row r="16">
          <cell r="B16" t="str">
            <v>G011000106101000</v>
          </cell>
          <cell r="C16" t="str">
            <v>01.北海道</v>
          </cell>
          <cell r="D16" t="str">
            <v>100</v>
          </cell>
          <cell r="E16" t="str">
            <v>札幌市</v>
          </cell>
          <cell r="F16" t="str">
            <v>01</v>
          </cell>
          <cell r="G16" t="str">
            <v>公共 単独</v>
          </cell>
          <cell r="H16" t="str">
            <v>公共下水道</v>
          </cell>
          <cell r="I16" t="str">
            <v>単独</v>
          </cell>
          <cell r="J16" t="str">
            <v>010</v>
          </cell>
          <cell r="K16" t="str">
            <v>厚別下水汚泥コンポスト工場</v>
          </cell>
          <cell r="O16" t="str">
            <v>1</v>
          </cell>
          <cell r="Q16">
            <v>30864</v>
          </cell>
          <cell r="R16" t="str">
            <v>昭和</v>
          </cell>
          <cell r="S16">
            <v>59</v>
          </cell>
          <cell r="T16">
            <v>7</v>
          </cell>
          <cell r="AB16">
            <v>40296</v>
          </cell>
          <cell r="AC16" t="str">
            <v>該当しない</v>
          </cell>
          <cell r="AI16" t="str">
            <v>該当しない</v>
          </cell>
          <cell r="AQ16" t="str">
            <v/>
          </cell>
          <cell r="AR16" t="str">
            <v/>
          </cell>
          <cell r="AS16" t="str">
            <v>0110001010</v>
          </cell>
          <cell r="AT16" t="str">
            <v/>
          </cell>
          <cell r="AU16" t="str">
            <v>01</v>
          </cell>
          <cell r="AV16" t="str">
            <v>01</v>
          </cell>
          <cell r="AW16">
            <v>0</v>
          </cell>
          <cell r="AX16">
            <v>0</v>
          </cell>
          <cell r="AY16">
            <v>0</v>
          </cell>
          <cell r="AZ16">
            <v>0</v>
          </cell>
          <cell r="BA16">
            <v>0</v>
          </cell>
          <cell r="BD16" t="str">
            <v/>
          </cell>
          <cell r="BE16">
            <v>1</v>
          </cell>
          <cell r="BG16" t="str">
            <v>0010</v>
          </cell>
        </row>
        <row r="17">
          <cell r="B17" t="str">
            <v>G011000106101100</v>
          </cell>
          <cell r="C17" t="str">
            <v>01.北海道</v>
          </cell>
          <cell r="D17" t="str">
            <v>100</v>
          </cell>
          <cell r="E17" t="str">
            <v>札幌市</v>
          </cell>
          <cell r="F17" t="str">
            <v>01</v>
          </cell>
          <cell r="G17" t="str">
            <v>公共 単独</v>
          </cell>
          <cell r="H17" t="str">
            <v>公共下水道</v>
          </cell>
          <cell r="I17" t="str">
            <v>単独</v>
          </cell>
          <cell r="J17" t="str">
            <v>011</v>
          </cell>
          <cell r="K17" t="str">
            <v>拓北水再生プラザ</v>
          </cell>
          <cell r="M17" t="str">
            <v>1</v>
          </cell>
          <cell r="Q17">
            <v>30926</v>
          </cell>
          <cell r="R17" t="str">
            <v>昭和</v>
          </cell>
          <cell r="S17">
            <v>59</v>
          </cell>
          <cell r="T17">
            <v>9</v>
          </cell>
          <cell r="AB17">
            <v>32122</v>
          </cell>
          <cell r="AC17" t="str">
            <v>石狩川中流・下流</v>
          </cell>
          <cell r="AD17" t="str">
            <v>Ｂ</v>
          </cell>
          <cell r="AE17" t="str">
            <v>ロ</v>
          </cell>
          <cell r="AF17">
            <v>15</v>
          </cell>
          <cell r="AK17" t="str">
            <v>石狩川</v>
          </cell>
          <cell r="AQ17" t="str">
            <v/>
          </cell>
          <cell r="AR17" t="str">
            <v>標準活性汚泥法</v>
          </cell>
          <cell r="AS17" t="str">
            <v>0110001011</v>
          </cell>
          <cell r="AT17" t="str">
            <v/>
          </cell>
          <cell r="AU17" t="str">
            <v>00</v>
          </cell>
          <cell r="AV17" t="str">
            <v>00</v>
          </cell>
          <cell r="AW17">
            <v>0</v>
          </cell>
          <cell r="AX17">
            <v>0</v>
          </cell>
          <cell r="AY17">
            <v>0</v>
          </cell>
          <cell r="AZ17">
            <v>0</v>
          </cell>
          <cell r="BA17">
            <v>0</v>
          </cell>
          <cell r="BD17" t="str">
            <v/>
          </cell>
          <cell r="BE17">
            <v>1</v>
          </cell>
          <cell r="BG17" t="str">
            <v>1000</v>
          </cell>
        </row>
        <row r="18">
          <cell r="B18" t="str">
            <v>G011000106101200</v>
          </cell>
          <cell r="C18" t="str">
            <v>01.北海道</v>
          </cell>
          <cell r="D18" t="str">
            <v>100</v>
          </cell>
          <cell r="E18" t="str">
            <v>札幌市</v>
          </cell>
          <cell r="F18" t="str">
            <v>01</v>
          </cell>
          <cell r="G18" t="str">
            <v>公共 単独</v>
          </cell>
          <cell r="H18" t="str">
            <v>公共下水道</v>
          </cell>
          <cell r="I18" t="str">
            <v>単独</v>
          </cell>
          <cell r="J18" t="str">
            <v>012</v>
          </cell>
          <cell r="K18" t="str">
            <v>東部水再生プラザ</v>
          </cell>
          <cell r="M18" t="str">
            <v>1</v>
          </cell>
          <cell r="P18" t="str">
            <v>1</v>
          </cell>
          <cell r="Q18">
            <v>38443</v>
          </cell>
          <cell r="R18" t="str">
            <v>平成</v>
          </cell>
          <cell r="S18">
            <v>17</v>
          </cell>
          <cell r="T18">
            <v>4</v>
          </cell>
          <cell r="AB18">
            <v>158711</v>
          </cell>
          <cell r="AC18" t="str">
            <v>豊平川下流</v>
          </cell>
          <cell r="AD18" t="str">
            <v>Ｂ</v>
          </cell>
          <cell r="AE18" t="str">
            <v>ハ</v>
          </cell>
          <cell r="AF18">
            <v>10</v>
          </cell>
          <cell r="AK18" t="str">
            <v>豊平川</v>
          </cell>
          <cell r="AQ18" t="str">
            <v/>
          </cell>
          <cell r="AR18" t="str">
            <v>ステップ流入式多段硝化脱窒法</v>
          </cell>
          <cell r="AS18" t="str">
            <v>0110001012</v>
          </cell>
          <cell r="AT18" t="str">
            <v/>
          </cell>
          <cell r="AU18" t="str">
            <v>00</v>
          </cell>
          <cell r="AV18" t="str">
            <v>00</v>
          </cell>
          <cell r="AW18">
            <v>1</v>
          </cell>
          <cell r="AX18">
            <v>0</v>
          </cell>
          <cell r="AY18">
            <v>0</v>
          </cell>
          <cell r="AZ18">
            <v>0</v>
          </cell>
          <cell r="BA18">
            <v>0</v>
          </cell>
          <cell r="BD18" t="str">
            <v/>
          </cell>
          <cell r="BE18">
            <v>1</v>
          </cell>
          <cell r="BG18" t="str">
            <v>1001</v>
          </cell>
        </row>
        <row r="19">
          <cell r="B19" t="str">
            <v>G011000106101300</v>
          </cell>
          <cell r="C19" t="str">
            <v>01.北海道</v>
          </cell>
          <cell r="D19" t="str">
            <v>100</v>
          </cell>
          <cell r="E19" t="str">
            <v>札幌市</v>
          </cell>
          <cell r="F19" t="str">
            <v>01</v>
          </cell>
          <cell r="G19" t="str">
            <v>公共 単独</v>
          </cell>
          <cell r="H19" t="str">
            <v>公共下水道</v>
          </cell>
          <cell r="I19" t="str">
            <v>単独</v>
          </cell>
          <cell r="J19" t="str">
            <v>013</v>
          </cell>
          <cell r="K19" t="str">
            <v>東部スラッジセンター</v>
          </cell>
          <cell r="N19" t="str">
            <v>1</v>
          </cell>
          <cell r="Q19">
            <v>39326</v>
          </cell>
          <cell r="R19" t="str">
            <v>平成</v>
          </cell>
          <cell r="S19">
            <v>19</v>
          </cell>
          <cell r="T19">
            <v>9</v>
          </cell>
          <cell r="AB19">
            <v>40196</v>
          </cell>
          <cell r="AC19" t="str">
            <v>該当しない</v>
          </cell>
          <cell r="AI19" t="str">
            <v>該当しない</v>
          </cell>
          <cell r="AQ19" t="str">
            <v/>
          </cell>
          <cell r="AR19" t="str">
            <v/>
          </cell>
          <cell r="AS19" t="str">
            <v>0110001013</v>
          </cell>
          <cell r="AT19" t="str">
            <v/>
          </cell>
          <cell r="AU19" t="str">
            <v>10</v>
          </cell>
          <cell r="AV19" t="str">
            <v>10</v>
          </cell>
          <cell r="AW19">
            <v>0</v>
          </cell>
          <cell r="AX19">
            <v>0</v>
          </cell>
          <cell r="AY19">
            <v>0</v>
          </cell>
          <cell r="AZ19">
            <v>0</v>
          </cell>
          <cell r="BA19">
            <v>0</v>
          </cell>
          <cell r="BD19" t="str">
            <v/>
          </cell>
          <cell r="BE19">
            <v>1</v>
          </cell>
          <cell r="BG19" t="str">
            <v>0100</v>
          </cell>
        </row>
        <row r="20">
          <cell r="B20" t="str">
            <v>G012020106100100</v>
          </cell>
          <cell r="C20" t="str">
            <v>01.北海道</v>
          </cell>
          <cell r="D20" t="str">
            <v>202</v>
          </cell>
          <cell r="E20" t="str">
            <v>函館市</v>
          </cell>
          <cell r="F20" t="str">
            <v>01</v>
          </cell>
          <cell r="G20" t="str">
            <v>公共 単独</v>
          </cell>
          <cell r="H20" t="str">
            <v>公共下水道</v>
          </cell>
          <cell r="I20" t="str">
            <v>単独</v>
          </cell>
          <cell r="J20" t="str">
            <v>001</v>
          </cell>
          <cell r="K20" t="str">
            <v>南部下水終末処理場</v>
          </cell>
          <cell r="M20" t="str">
            <v>1</v>
          </cell>
          <cell r="N20" t="str">
            <v>1</v>
          </cell>
          <cell r="O20" t="str">
            <v>1</v>
          </cell>
          <cell r="P20" t="str">
            <v>1</v>
          </cell>
          <cell r="Q20">
            <v>27211</v>
          </cell>
          <cell r="R20" t="str">
            <v>昭和</v>
          </cell>
          <cell r="S20">
            <v>49</v>
          </cell>
          <cell r="T20">
            <v>7</v>
          </cell>
          <cell r="AB20">
            <v>52837</v>
          </cell>
          <cell r="AC20" t="str">
            <v>設定なし</v>
          </cell>
          <cell r="AF20">
            <v>15</v>
          </cell>
          <cell r="AI20" t="str">
            <v>津軽海峡</v>
          </cell>
          <cell r="AQ20" t="str">
            <v/>
          </cell>
          <cell r="AR20" t="str">
            <v>標準活性汚泥法</v>
          </cell>
          <cell r="AS20" t="str">
            <v>0120201001</v>
          </cell>
          <cell r="AT20" t="str">
            <v/>
          </cell>
          <cell r="AU20" t="str">
            <v>11</v>
          </cell>
          <cell r="AV20" t="str">
            <v>11</v>
          </cell>
          <cell r="AW20">
            <v>1</v>
          </cell>
          <cell r="AX20">
            <v>0</v>
          </cell>
          <cell r="AY20">
            <v>0</v>
          </cell>
          <cell r="AZ20">
            <v>0</v>
          </cell>
          <cell r="BA20">
            <v>0</v>
          </cell>
          <cell r="BD20" t="str">
            <v/>
          </cell>
          <cell r="BE20">
            <v>1</v>
          </cell>
          <cell r="BG20" t="str">
            <v>1111</v>
          </cell>
        </row>
        <row r="21">
          <cell r="B21" t="str">
            <v>G012030106100100</v>
          </cell>
          <cell r="C21" t="str">
            <v>01.北海道</v>
          </cell>
          <cell r="D21" t="str">
            <v>203</v>
          </cell>
          <cell r="E21" t="str">
            <v>小樽市</v>
          </cell>
          <cell r="F21" t="str">
            <v>01</v>
          </cell>
          <cell r="G21" t="str">
            <v>公共 単独</v>
          </cell>
          <cell r="H21" t="str">
            <v>公共下水道</v>
          </cell>
          <cell r="I21" t="str">
            <v>単独</v>
          </cell>
          <cell r="J21" t="str">
            <v>001</v>
          </cell>
          <cell r="K21" t="str">
            <v>中央下水終末処理場</v>
          </cell>
          <cell r="M21" t="str">
            <v>1</v>
          </cell>
          <cell r="N21" t="str">
            <v>1</v>
          </cell>
          <cell r="Q21">
            <v>30773</v>
          </cell>
          <cell r="R21" t="str">
            <v>昭和</v>
          </cell>
          <cell r="S21">
            <v>59</v>
          </cell>
          <cell r="T21">
            <v>4</v>
          </cell>
          <cell r="AB21">
            <v>64848</v>
          </cell>
          <cell r="AC21" t="str">
            <v>小樽海域</v>
          </cell>
          <cell r="AD21" t="str">
            <v>Ｃ</v>
          </cell>
          <cell r="AE21" t="str">
            <v>イ</v>
          </cell>
          <cell r="AF21">
            <v>15</v>
          </cell>
          <cell r="AI21" t="str">
            <v>小樽港</v>
          </cell>
          <cell r="AQ21" t="str">
            <v/>
          </cell>
          <cell r="AR21" t="str">
            <v>標準活性汚泥法</v>
          </cell>
          <cell r="AS21" t="str">
            <v>0120301001</v>
          </cell>
          <cell r="AT21" t="str">
            <v/>
          </cell>
          <cell r="AU21" t="str">
            <v>10</v>
          </cell>
          <cell r="AV21" t="str">
            <v>10</v>
          </cell>
          <cell r="AW21">
            <v>0</v>
          </cell>
          <cell r="AX21">
            <v>0</v>
          </cell>
          <cell r="AY21">
            <v>0</v>
          </cell>
          <cell r="AZ21">
            <v>0</v>
          </cell>
          <cell r="BA21">
            <v>0</v>
          </cell>
          <cell r="BD21" t="str">
            <v/>
          </cell>
          <cell r="BE21">
            <v>1</v>
          </cell>
          <cell r="BG21" t="str">
            <v>1100</v>
          </cell>
        </row>
        <row r="22">
          <cell r="B22" t="str">
            <v>G012030106100200</v>
          </cell>
          <cell r="C22" t="str">
            <v>01.北海道</v>
          </cell>
          <cell r="D22" t="str">
            <v>203</v>
          </cell>
          <cell r="E22" t="str">
            <v>小樽市</v>
          </cell>
          <cell r="F22" t="str">
            <v>01</v>
          </cell>
          <cell r="G22" t="str">
            <v>公共 単独</v>
          </cell>
          <cell r="H22" t="str">
            <v>公共下水道</v>
          </cell>
          <cell r="I22" t="str">
            <v>単独</v>
          </cell>
          <cell r="J22" t="str">
            <v>002</v>
          </cell>
          <cell r="K22" t="str">
            <v>銭函下水終末処理場</v>
          </cell>
          <cell r="M22" t="str">
            <v>1</v>
          </cell>
          <cell r="N22" t="str">
            <v>1</v>
          </cell>
          <cell r="Q22">
            <v>33147</v>
          </cell>
          <cell r="R22" t="str">
            <v>平成</v>
          </cell>
          <cell r="S22">
            <v>2</v>
          </cell>
          <cell r="T22">
            <v>10</v>
          </cell>
          <cell r="AB22">
            <v>33075</v>
          </cell>
          <cell r="AC22" t="str">
            <v>設定なし</v>
          </cell>
          <cell r="AF22">
            <v>15</v>
          </cell>
          <cell r="AJ22" t="str">
            <v>星置川</v>
          </cell>
          <cell r="AL22" t="str">
            <v>札幌市宮町取水場</v>
          </cell>
          <cell r="AM22">
            <v>3.7</v>
          </cell>
          <cell r="AO22" t="str">
            <v>札幌市</v>
          </cell>
          <cell r="AQ22" t="str">
            <v/>
          </cell>
          <cell r="AR22" t="str">
            <v>標準活性汚泥法</v>
          </cell>
          <cell r="AS22" t="str">
            <v>0120301002</v>
          </cell>
          <cell r="AT22" t="str">
            <v/>
          </cell>
          <cell r="AU22" t="str">
            <v>10</v>
          </cell>
          <cell r="AV22" t="str">
            <v>10</v>
          </cell>
          <cell r="AW22">
            <v>0</v>
          </cell>
          <cell r="AX22">
            <v>0</v>
          </cell>
          <cell r="AY22">
            <v>0</v>
          </cell>
          <cell r="AZ22">
            <v>0</v>
          </cell>
          <cell r="BA22">
            <v>0</v>
          </cell>
          <cell r="BD22" t="str">
            <v/>
          </cell>
          <cell r="BE22">
            <v>1</v>
          </cell>
          <cell r="BG22" t="str">
            <v>1100</v>
          </cell>
        </row>
        <row r="23">
          <cell r="B23" t="str">
            <v>G012030106100300</v>
          </cell>
          <cell r="C23" t="str">
            <v>01.北海道</v>
          </cell>
          <cell r="D23" t="str">
            <v>203</v>
          </cell>
          <cell r="E23" t="str">
            <v>小樽市</v>
          </cell>
          <cell r="F23" t="str">
            <v>01</v>
          </cell>
          <cell r="G23" t="str">
            <v>公共 単独</v>
          </cell>
          <cell r="H23" t="str">
            <v>公共下水道</v>
          </cell>
          <cell r="I23" t="str">
            <v>単独</v>
          </cell>
          <cell r="J23" t="str">
            <v>003</v>
          </cell>
          <cell r="K23" t="str">
            <v>蘭島下水終末処理場</v>
          </cell>
          <cell r="M23" t="str">
            <v>1</v>
          </cell>
          <cell r="N23" t="str">
            <v>1</v>
          </cell>
          <cell r="Q23">
            <v>35004</v>
          </cell>
          <cell r="R23" t="str">
            <v>平成</v>
          </cell>
          <cell r="S23">
            <v>7</v>
          </cell>
          <cell r="T23">
            <v>11</v>
          </cell>
          <cell r="AB23">
            <v>7077</v>
          </cell>
          <cell r="AC23" t="str">
            <v>設定なし</v>
          </cell>
          <cell r="AF23">
            <v>15</v>
          </cell>
          <cell r="AI23" t="str">
            <v>旧蘭島川</v>
          </cell>
          <cell r="AQ23" t="str">
            <v/>
          </cell>
          <cell r="AR23" t="str">
            <v>オキシディションディッチ法</v>
          </cell>
          <cell r="AS23" t="str">
            <v>0120301003</v>
          </cell>
          <cell r="AT23" t="str">
            <v/>
          </cell>
          <cell r="AU23" t="str">
            <v>10</v>
          </cell>
          <cell r="AV23" t="str">
            <v>10</v>
          </cell>
          <cell r="AW23">
            <v>0</v>
          </cell>
          <cell r="AX23">
            <v>0</v>
          </cell>
          <cell r="AY23">
            <v>0</v>
          </cell>
          <cell r="AZ23">
            <v>0</v>
          </cell>
          <cell r="BA23">
            <v>0</v>
          </cell>
          <cell r="BD23" t="str">
            <v/>
          </cell>
          <cell r="BE23">
            <v>1</v>
          </cell>
          <cell r="BG23" t="str">
            <v>1100</v>
          </cell>
        </row>
        <row r="24">
          <cell r="B24" t="str">
            <v>G012040106100100</v>
          </cell>
          <cell r="C24" t="str">
            <v>01.北海道</v>
          </cell>
          <cell r="D24" t="str">
            <v>204</v>
          </cell>
          <cell r="E24" t="str">
            <v>旭川市</v>
          </cell>
          <cell r="F24" t="str">
            <v>01</v>
          </cell>
          <cell r="G24" t="str">
            <v>公共 単独</v>
          </cell>
          <cell r="H24" t="str">
            <v>公共下水道</v>
          </cell>
          <cell r="I24" t="str">
            <v>単独</v>
          </cell>
          <cell r="J24" t="str">
            <v>001</v>
          </cell>
          <cell r="K24" t="str">
            <v>旭川市亀吉下水終末処理場</v>
          </cell>
          <cell r="M24" t="str">
            <v>1</v>
          </cell>
          <cell r="Q24">
            <v>23682</v>
          </cell>
          <cell r="R24" t="str">
            <v>昭和</v>
          </cell>
          <cell r="S24">
            <v>39</v>
          </cell>
          <cell r="T24">
            <v>11</v>
          </cell>
          <cell r="AB24">
            <v>47573</v>
          </cell>
          <cell r="AC24" t="str">
            <v>石狩川</v>
          </cell>
          <cell r="AD24" t="str">
            <v>Ｂ</v>
          </cell>
          <cell r="AE24" t="str">
            <v>ロ</v>
          </cell>
          <cell r="AF24">
            <v>15</v>
          </cell>
          <cell r="AK24" t="str">
            <v>石狩川</v>
          </cell>
          <cell r="AL24" t="str">
            <v>第二取水口(忠別川)</v>
          </cell>
          <cell r="AM24">
            <v>8.5</v>
          </cell>
          <cell r="AO24" t="str">
            <v>旭川市</v>
          </cell>
          <cell r="AQ24" t="str">
            <v/>
          </cell>
          <cell r="AR24" t="str">
            <v>標準活性汚泥法</v>
          </cell>
          <cell r="AS24" t="str">
            <v>0120401001</v>
          </cell>
          <cell r="AT24" t="str">
            <v/>
          </cell>
          <cell r="AU24" t="str">
            <v>00</v>
          </cell>
          <cell r="AV24" t="str">
            <v>00</v>
          </cell>
          <cell r="AW24">
            <v>0</v>
          </cell>
          <cell r="AX24">
            <v>0</v>
          </cell>
          <cell r="AY24">
            <v>0</v>
          </cell>
          <cell r="AZ24">
            <v>0</v>
          </cell>
          <cell r="BA24">
            <v>0</v>
          </cell>
          <cell r="BD24" t="str">
            <v/>
          </cell>
          <cell r="BE24">
            <v>1</v>
          </cell>
          <cell r="BG24" t="str">
            <v>1000</v>
          </cell>
        </row>
        <row r="25">
          <cell r="B25" t="str">
            <v>G012040106100200</v>
          </cell>
          <cell r="C25" t="str">
            <v>01.北海道</v>
          </cell>
          <cell r="D25" t="str">
            <v>204</v>
          </cell>
          <cell r="E25" t="str">
            <v>旭川市</v>
          </cell>
          <cell r="F25" t="str">
            <v>01</v>
          </cell>
          <cell r="G25" t="str">
            <v>公共 単独</v>
          </cell>
          <cell r="H25" t="str">
            <v>公共下水道</v>
          </cell>
          <cell r="I25" t="str">
            <v>単独</v>
          </cell>
          <cell r="J25" t="str">
            <v>002</v>
          </cell>
          <cell r="K25" t="str">
            <v>旭川市下水処理センター</v>
          </cell>
          <cell r="M25" t="str">
            <v>1</v>
          </cell>
          <cell r="N25" t="str">
            <v>1</v>
          </cell>
          <cell r="O25" t="str">
            <v>1</v>
          </cell>
          <cell r="P25" t="str">
            <v>1</v>
          </cell>
          <cell r="Q25">
            <v>29677</v>
          </cell>
          <cell r="R25" t="str">
            <v>昭和</v>
          </cell>
          <cell r="S25">
            <v>56</v>
          </cell>
          <cell r="T25">
            <v>4</v>
          </cell>
          <cell r="AB25">
            <v>265973</v>
          </cell>
          <cell r="AC25" t="str">
            <v>石狩川</v>
          </cell>
          <cell r="AD25" t="str">
            <v>Ｂ</v>
          </cell>
          <cell r="AE25" t="str">
            <v>ロ</v>
          </cell>
          <cell r="AF25">
            <v>15</v>
          </cell>
          <cell r="AK25" t="str">
            <v>石狩川</v>
          </cell>
          <cell r="AL25" t="str">
            <v>第二取水口(忠別川)</v>
          </cell>
          <cell r="AM25">
            <v>12</v>
          </cell>
          <cell r="AO25" t="str">
            <v>旭川市</v>
          </cell>
          <cell r="AQ25" t="str">
            <v/>
          </cell>
          <cell r="AR25" t="str">
            <v>標準活性汚泥法</v>
          </cell>
          <cell r="AS25" t="str">
            <v>0120401002</v>
          </cell>
          <cell r="AT25" t="str">
            <v/>
          </cell>
          <cell r="AU25" t="str">
            <v>11</v>
          </cell>
          <cell r="AV25" t="str">
            <v>11</v>
          </cell>
          <cell r="AW25">
            <v>1</v>
          </cell>
          <cell r="AX25">
            <v>0</v>
          </cell>
          <cell r="AY25">
            <v>0</v>
          </cell>
          <cell r="AZ25">
            <v>0</v>
          </cell>
          <cell r="BA25">
            <v>0</v>
          </cell>
          <cell r="BD25" t="str">
            <v/>
          </cell>
          <cell r="BE25">
            <v>1</v>
          </cell>
          <cell r="BG25" t="str">
            <v>1111</v>
          </cell>
        </row>
        <row r="26">
          <cell r="B26" t="str">
            <v>G012050106100100</v>
          </cell>
          <cell r="C26" t="str">
            <v>01.北海道</v>
          </cell>
          <cell r="D26" t="str">
            <v>205</v>
          </cell>
          <cell r="E26" t="str">
            <v>室蘭市</v>
          </cell>
          <cell r="F26" t="str">
            <v>01</v>
          </cell>
          <cell r="G26" t="str">
            <v>公共 単独</v>
          </cell>
          <cell r="H26" t="str">
            <v>公共下水道</v>
          </cell>
          <cell r="I26" t="str">
            <v>単独</v>
          </cell>
          <cell r="J26" t="str">
            <v>001</v>
          </cell>
          <cell r="K26" t="str">
            <v>蘭東下水処理場</v>
          </cell>
          <cell r="M26" t="str">
            <v>1</v>
          </cell>
          <cell r="N26" t="str">
            <v>1</v>
          </cell>
          <cell r="Q26">
            <v>28734</v>
          </cell>
          <cell r="R26" t="str">
            <v>昭和</v>
          </cell>
          <cell r="S26">
            <v>53</v>
          </cell>
          <cell r="T26">
            <v>9</v>
          </cell>
          <cell r="AB26">
            <v>40866</v>
          </cell>
          <cell r="AC26" t="str">
            <v>室蘭海域</v>
          </cell>
          <cell r="AD26" t="str">
            <v>Ａ</v>
          </cell>
          <cell r="AE26" t="str">
            <v>ロ</v>
          </cell>
          <cell r="AF26">
            <v>15</v>
          </cell>
          <cell r="AI26" t="str">
            <v>室蘭海域</v>
          </cell>
          <cell r="AQ26" t="str">
            <v/>
          </cell>
          <cell r="AR26" t="str">
            <v>標準活性汚泥法</v>
          </cell>
          <cell r="AS26" t="str">
            <v>0120501001</v>
          </cell>
          <cell r="AT26" t="str">
            <v/>
          </cell>
          <cell r="AU26" t="str">
            <v>10</v>
          </cell>
          <cell r="AV26" t="str">
            <v>10</v>
          </cell>
          <cell r="AW26">
            <v>0</v>
          </cell>
          <cell r="AX26">
            <v>0</v>
          </cell>
          <cell r="AY26">
            <v>0</v>
          </cell>
          <cell r="AZ26">
            <v>0</v>
          </cell>
          <cell r="BA26">
            <v>0</v>
          </cell>
          <cell r="BD26" t="str">
            <v/>
          </cell>
          <cell r="BE26">
            <v>1</v>
          </cell>
          <cell r="BG26" t="str">
            <v>1100</v>
          </cell>
        </row>
        <row r="27">
          <cell r="B27" t="str">
            <v>G012060106100100</v>
          </cell>
          <cell r="C27" t="str">
            <v>01.北海道</v>
          </cell>
          <cell r="D27" t="str">
            <v>206</v>
          </cell>
          <cell r="E27" t="str">
            <v>釧路市</v>
          </cell>
          <cell r="F27" t="str">
            <v>01</v>
          </cell>
          <cell r="G27" t="str">
            <v>公共 単独</v>
          </cell>
          <cell r="H27" t="str">
            <v>公共下水道</v>
          </cell>
          <cell r="I27" t="str">
            <v>単独</v>
          </cell>
          <cell r="J27" t="str">
            <v>001</v>
          </cell>
          <cell r="K27" t="str">
            <v>古川終末処理場</v>
          </cell>
          <cell r="M27" t="str">
            <v>1</v>
          </cell>
          <cell r="N27" t="str">
            <v>1</v>
          </cell>
          <cell r="O27" t="str">
            <v>1</v>
          </cell>
          <cell r="Q27">
            <v>27120</v>
          </cell>
          <cell r="R27" t="str">
            <v>昭和</v>
          </cell>
          <cell r="S27">
            <v>49</v>
          </cell>
          <cell r="T27">
            <v>4</v>
          </cell>
          <cell r="AB27">
            <v>117100</v>
          </cell>
          <cell r="AC27" t="str">
            <v>釧路川下流(3)</v>
          </cell>
          <cell r="AD27" t="str">
            <v>Ｅ</v>
          </cell>
          <cell r="AE27" t="str">
            <v>ロ</v>
          </cell>
          <cell r="AF27">
            <v>15</v>
          </cell>
          <cell r="AK27" t="str">
            <v>釧路川</v>
          </cell>
          <cell r="AQ27" t="str">
            <v/>
          </cell>
          <cell r="AR27" t="str">
            <v>標準活性汚泥法</v>
          </cell>
          <cell r="AS27" t="str">
            <v>0120601001</v>
          </cell>
          <cell r="AT27" t="str">
            <v/>
          </cell>
          <cell r="AU27" t="str">
            <v>11</v>
          </cell>
          <cell r="AV27" t="str">
            <v>11</v>
          </cell>
          <cell r="AW27">
            <v>0</v>
          </cell>
          <cell r="AX27">
            <v>0</v>
          </cell>
          <cell r="AY27">
            <v>0</v>
          </cell>
          <cell r="AZ27">
            <v>0</v>
          </cell>
          <cell r="BA27">
            <v>0</v>
          </cell>
          <cell r="BD27" t="str">
            <v/>
          </cell>
          <cell r="BE27">
            <v>1</v>
          </cell>
          <cell r="BG27" t="str">
            <v>1110</v>
          </cell>
        </row>
        <row r="28">
          <cell r="B28" t="str">
            <v>G012060106100200</v>
          </cell>
          <cell r="C28" t="str">
            <v>01.北海道</v>
          </cell>
          <cell r="D28" t="str">
            <v>206</v>
          </cell>
          <cell r="E28" t="str">
            <v>釧路市</v>
          </cell>
          <cell r="F28" t="str">
            <v>01</v>
          </cell>
          <cell r="G28" t="str">
            <v>公共 単独</v>
          </cell>
          <cell r="H28" t="str">
            <v>公共下水道</v>
          </cell>
          <cell r="I28" t="str">
            <v>単独</v>
          </cell>
          <cell r="J28" t="str">
            <v>002</v>
          </cell>
          <cell r="K28" t="str">
            <v>白樺終末処理場</v>
          </cell>
          <cell r="M28" t="str">
            <v>1</v>
          </cell>
          <cell r="N28" t="str">
            <v>1</v>
          </cell>
          <cell r="Q28">
            <v>30011</v>
          </cell>
          <cell r="R28" t="str">
            <v>昭和</v>
          </cell>
          <cell r="S28">
            <v>57</v>
          </cell>
          <cell r="T28">
            <v>3</v>
          </cell>
          <cell r="AB28">
            <v>34400</v>
          </cell>
          <cell r="AC28" t="str">
            <v>設定なし</v>
          </cell>
          <cell r="AF28">
            <v>15</v>
          </cell>
          <cell r="AI28" t="str">
            <v>岩見川</v>
          </cell>
          <cell r="AQ28" t="str">
            <v/>
          </cell>
          <cell r="AR28" t="str">
            <v>標準活性汚泥法</v>
          </cell>
          <cell r="AS28" t="str">
            <v>0120601002</v>
          </cell>
          <cell r="AT28" t="str">
            <v/>
          </cell>
          <cell r="AU28" t="str">
            <v>10</v>
          </cell>
          <cell r="AV28" t="str">
            <v>10</v>
          </cell>
          <cell r="AW28">
            <v>0</v>
          </cell>
          <cell r="AX28">
            <v>0</v>
          </cell>
          <cell r="AY28">
            <v>0</v>
          </cell>
          <cell r="AZ28">
            <v>0</v>
          </cell>
          <cell r="BA28">
            <v>0</v>
          </cell>
          <cell r="BD28" t="str">
            <v/>
          </cell>
          <cell r="BE28">
            <v>1</v>
          </cell>
          <cell r="BG28" t="str">
            <v>1100</v>
          </cell>
        </row>
        <row r="29">
          <cell r="B29" t="str">
            <v>G012060106100300</v>
          </cell>
          <cell r="C29" t="str">
            <v>01.北海道</v>
          </cell>
          <cell r="D29" t="str">
            <v>206</v>
          </cell>
          <cell r="E29" t="str">
            <v>釧路市</v>
          </cell>
          <cell r="F29" t="str">
            <v>01</v>
          </cell>
          <cell r="G29" t="str">
            <v>公共 単独</v>
          </cell>
          <cell r="H29" t="str">
            <v>公共下水道</v>
          </cell>
          <cell r="I29" t="str">
            <v>単独</v>
          </cell>
          <cell r="J29" t="str">
            <v>003</v>
          </cell>
          <cell r="K29" t="str">
            <v>大楽毛終末処理場</v>
          </cell>
          <cell r="M29" t="str">
            <v>1</v>
          </cell>
          <cell r="N29" t="str">
            <v>1</v>
          </cell>
          <cell r="Q29">
            <v>31837</v>
          </cell>
          <cell r="R29" t="str">
            <v>昭和</v>
          </cell>
          <cell r="S29">
            <v>62</v>
          </cell>
          <cell r="T29">
            <v>3</v>
          </cell>
          <cell r="AB29">
            <v>127039</v>
          </cell>
          <cell r="AC29" t="str">
            <v>設定なし</v>
          </cell>
          <cell r="AF29">
            <v>15</v>
          </cell>
          <cell r="AJ29" t="str">
            <v>星が浦川</v>
          </cell>
          <cell r="AQ29" t="str">
            <v/>
          </cell>
          <cell r="AR29" t="str">
            <v>標準活性汚泥法</v>
          </cell>
          <cell r="AS29" t="str">
            <v>0120601003</v>
          </cell>
          <cell r="AT29" t="str">
            <v/>
          </cell>
          <cell r="AU29" t="str">
            <v>10</v>
          </cell>
          <cell r="AV29" t="str">
            <v>10</v>
          </cell>
          <cell r="AW29">
            <v>0</v>
          </cell>
          <cell r="AX29">
            <v>0</v>
          </cell>
          <cell r="AY29">
            <v>0</v>
          </cell>
          <cell r="AZ29">
            <v>0</v>
          </cell>
          <cell r="BA29">
            <v>0</v>
          </cell>
          <cell r="BD29" t="str">
            <v/>
          </cell>
          <cell r="BE29">
            <v>1</v>
          </cell>
          <cell r="BG29" t="str">
            <v>1100</v>
          </cell>
        </row>
        <row r="30">
          <cell r="B30" t="str">
            <v>G012060206100400</v>
          </cell>
          <cell r="C30" t="str">
            <v>01.北海道</v>
          </cell>
          <cell r="D30" t="str">
            <v>206</v>
          </cell>
          <cell r="E30" t="str">
            <v>釧路市</v>
          </cell>
          <cell r="F30" t="str">
            <v>02</v>
          </cell>
          <cell r="G30" t="str">
            <v>特環 単独</v>
          </cell>
          <cell r="H30" t="str">
            <v>特定環境保全公共下水道</v>
          </cell>
          <cell r="I30" t="str">
            <v>単独</v>
          </cell>
          <cell r="J30" t="str">
            <v>004</v>
          </cell>
          <cell r="K30" t="str">
            <v>阿寒湖畔下水終末処理場</v>
          </cell>
          <cell r="M30" t="str">
            <v>1</v>
          </cell>
          <cell r="N30" t="str">
            <v>1</v>
          </cell>
          <cell r="Q30">
            <v>31503</v>
          </cell>
          <cell r="R30" t="str">
            <v>昭和</v>
          </cell>
          <cell r="S30">
            <v>61</v>
          </cell>
          <cell r="T30">
            <v>4</v>
          </cell>
          <cell r="AB30">
            <v>11800</v>
          </cell>
          <cell r="AC30" t="str">
            <v>阿寒川上流</v>
          </cell>
          <cell r="AD30" t="str">
            <v>ＡＡ</v>
          </cell>
          <cell r="AE30" t="str">
            <v>イ</v>
          </cell>
          <cell r="AF30">
            <v>15</v>
          </cell>
          <cell r="AJ30" t="str">
            <v>阿寒</v>
          </cell>
          <cell r="AQ30" t="str">
            <v/>
          </cell>
          <cell r="AR30" t="str">
            <v>標準活性汚泥法</v>
          </cell>
          <cell r="AS30" t="str">
            <v>0120602004</v>
          </cell>
          <cell r="AT30" t="str">
            <v/>
          </cell>
          <cell r="AU30" t="str">
            <v>10</v>
          </cell>
          <cell r="AV30" t="str">
            <v>10</v>
          </cell>
          <cell r="AW30">
            <v>0</v>
          </cell>
          <cell r="AX30">
            <v>0</v>
          </cell>
          <cell r="AY30">
            <v>0</v>
          </cell>
          <cell r="AZ30">
            <v>0</v>
          </cell>
          <cell r="BA30">
            <v>0</v>
          </cell>
          <cell r="BD30" t="str">
            <v/>
          </cell>
          <cell r="BE30">
            <v>1</v>
          </cell>
          <cell r="BG30" t="str">
            <v>1100</v>
          </cell>
        </row>
        <row r="31">
          <cell r="B31" t="str">
            <v>G012060206100500</v>
          </cell>
          <cell r="C31" t="str">
            <v>01.北海道</v>
          </cell>
          <cell r="D31" t="str">
            <v>206</v>
          </cell>
          <cell r="E31" t="str">
            <v>釧路市</v>
          </cell>
          <cell r="F31" t="str">
            <v>02</v>
          </cell>
          <cell r="G31" t="str">
            <v>特環 単独</v>
          </cell>
          <cell r="H31" t="str">
            <v>特定環境保全公共下水道</v>
          </cell>
          <cell r="I31" t="str">
            <v>単独</v>
          </cell>
          <cell r="J31" t="str">
            <v>005</v>
          </cell>
          <cell r="K31" t="str">
            <v>阿寒下水終末処理場</v>
          </cell>
          <cell r="M31" t="str">
            <v>1</v>
          </cell>
          <cell r="N31" t="str">
            <v>1</v>
          </cell>
          <cell r="Q31">
            <v>35370</v>
          </cell>
          <cell r="R31" t="str">
            <v>平成</v>
          </cell>
          <cell r="S31">
            <v>8</v>
          </cell>
          <cell r="T31">
            <v>11</v>
          </cell>
          <cell r="AB31">
            <v>6847</v>
          </cell>
          <cell r="AC31" t="str">
            <v>阿寒川下流</v>
          </cell>
          <cell r="AD31" t="str">
            <v>Ｂ</v>
          </cell>
          <cell r="AE31" t="str">
            <v>イ</v>
          </cell>
          <cell r="AF31">
            <v>15</v>
          </cell>
          <cell r="AJ31" t="str">
            <v>阿寒</v>
          </cell>
          <cell r="AQ31" t="str">
            <v/>
          </cell>
          <cell r="AR31" t="str">
            <v>オキシディションディッチ法</v>
          </cell>
          <cell r="AS31" t="str">
            <v>0120602005</v>
          </cell>
          <cell r="AT31" t="str">
            <v/>
          </cell>
          <cell r="AU31" t="str">
            <v>10</v>
          </cell>
          <cell r="AV31" t="str">
            <v>10</v>
          </cell>
          <cell r="AW31">
            <v>0</v>
          </cell>
          <cell r="AX31">
            <v>0</v>
          </cell>
          <cell r="AY31">
            <v>0</v>
          </cell>
          <cell r="AZ31">
            <v>0</v>
          </cell>
          <cell r="BA31">
            <v>0</v>
          </cell>
          <cell r="BD31" t="str">
            <v/>
          </cell>
          <cell r="BE31">
            <v>1</v>
          </cell>
          <cell r="BG31" t="str">
            <v>1100</v>
          </cell>
        </row>
        <row r="32">
          <cell r="B32" t="str">
            <v>G012060206100600</v>
          </cell>
          <cell r="C32" t="str">
            <v>01.北海道</v>
          </cell>
          <cell r="D32" t="str">
            <v>206</v>
          </cell>
          <cell r="E32" t="str">
            <v>釧路市</v>
          </cell>
          <cell r="F32" t="str">
            <v>02</v>
          </cell>
          <cell r="G32" t="str">
            <v>特環 単独</v>
          </cell>
          <cell r="H32" t="str">
            <v>特定環境保全公共下水道</v>
          </cell>
          <cell r="I32" t="str">
            <v>単独</v>
          </cell>
          <cell r="J32" t="str">
            <v>006</v>
          </cell>
          <cell r="K32" t="str">
            <v>音別浄化センター</v>
          </cell>
          <cell r="M32" t="str">
            <v>1</v>
          </cell>
          <cell r="N32" t="str">
            <v>1</v>
          </cell>
          <cell r="Q32">
            <v>36951</v>
          </cell>
          <cell r="R32" t="str">
            <v>平成</v>
          </cell>
          <cell r="S32">
            <v>13</v>
          </cell>
          <cell r="T32">
            <v>3</v>
          </cell>
          <cell r="AB32">
            <v>9800</v>
          </cell>
          <cell r="AC32" t="str">
            <v>設定なし</v>
          </cell>
          <cell r="AF32">
            <v>15</v>
          </cell>
          <cell r="AI32" t="str">
            <v>風連別川</v>
          </cell>
          <cell r="AL32" t="str">
            <v>音別簡易1，2号</v>
          </cell>
          <cell r="AM32">
            <v>12</v>
          </cell>
          <cell r="AO32" t="str">
            <v>釧路市</v>
          </cell>
          <cell r="AQ32" t="str">
            <v/>
          </cell>
          <cell r="AR32" t="str">
            <v>オキシディションディッチ法</v>
          </cell>
          <cell r="AS32" t="str">
            <v>0120602006</v>
          </cell>
          <cell r="AT32" t="str">
            <v/>
          </cell>
          <cell r="AU32" t="str">
            <v>10</v>
          </cell>
          <cell r="AV32" t="str">
            <v>10</v>
          </cell>
          <cell r="AW32">
            <v>0</v>
          </cell>
          <cell r="AX32">
            <v>0</v>
          </cell>
          <cell r="AY32">
            <v>0</v>
          </cell>
          <cell r="AZ32">
            <v>0</v>
          </cell>
          <cell r="BA32">
            <v>0</v>
          </cell>
          <cell r="BD32" t="str">
            <v/>
          </cell>
          <cell r="BE32">
            <v>1</v>
          </cell>
          <cell r="BG32" t="str">
            <v>1100</v>
          </cell>
        </row>
        <row r="33">
          <cell r="B33" t="str">
            <v>G012070106100100</v>
          </cell>
          <cell r="C33" t="str">
            <v>01.北海道</v>
          </cell>
          <cell r="D33" t="str">
            <v>207</v>
          </cell>
          <cell r="E33" t="str">
            <v>帯広市</v>
          </cell>
          <cell r="F33" t="str">
            <v>01</v>
          </cell>
          <cell r="G33" t="str">
            <v>公共 単独</v>
          </cell>
          <cell r="H33" t="str">
            <v>公共下水道</v>
          </cell>
          <cell r="I33" t="str">
            <v>単独</v>
          </cell>
          <cell r="J33" t="str">
            <v>001</v>
          </cell>
          <cell r="K33" t="str">
            <v>帯広川下水終末処理場</v>
          </cell>
          <cell r="M33" t="str">
            <v>1</v>
          </cell>
          <cell r="N33" t="str">
            <v>1</v>
          </cell>
          <cell r="Q33">
            <v>24793</v>
          </cell>
          <cell r="R33" t="str">
            <v>昭和</v>
          </cell>
          <cell r="S33">
            <v>42</v>
          </cell>
          <cell r="T33">
            <v>11</v>
          </cell>
          <cell r="AB33">
            <v>34286</v>
          </cell>
          <cell r="AF33">
            <v>15</v>
          </cell>
          <cell r="AI33" t="str">
            <v>旧帯広川</v>
          </cell>
          <cell r="AJ33" t="str">
            <v>帯広川</v>
          </cell>
          <cell r="AK33" t="str">
            <v>十勝川</v>
          </cell>
          <cell r="AQ33" t="str">
            <v/>
          </cell>
          <cell r="AR33" t="str">
            <v>標準活性汚泥法</v>
          </cell>
          <cell r="AS33" t="str">
            <v>0120701001</v>
          </cell>
          <cell r="AT33" t="str">
            <v/>
          </cell>
          <cell r="AU33" t="str">
            <v>10</v>
          </cell>
          <cell r="AV33" t="str">
            <v>10</v>
          </cell>
          <cell r="AW33">
            <v>0</v>
          </cell>
          <cell r="AX33">
            <v>0</v>
          </cell>
          <cell r="AY33">
            <v>0</v>
          </cell>
          <cell r="AZ33">
            <v>0</v>
          </cell>
          <cell r="BA33">
            <v>0</v>
          </cell>
          <cell r="BD33" t="str">
            <v/>
          </cell>
          <cell r="BE33">
            <v>1</v>
          </cell>
          <cell r="BG33" t="str">
            <v>1100</v>
          </cell>
        </row>
        <row r="34">
          <cell r="B34" t="str">
            <v>G012080106100100</v>
          </cell>
          <cell r="C34" t="str">
            <v>01.北海道</v>
          </cell>
          <cell r="D34" t="str">
            <v>208</v>
          </cell>
          <cell r="E34" t="str">
            <v>北見市</v>
          </cell>
          <cell r="F34" t="str">
            <v>01</v>
          </cell>
          <cell r="G34" t="str">
            <v>公共 単独</v>
          </cell>
          <cell r="H34" t="str">
            <v>公共下水道</v>
          </cell>
          <cell r="I34" t="str">
            <v>単独</v>
          </cell>
          <cell r="J34" t="str">
            <v>001</v>
          </cell>
          <cell r="K34" t="str">
            <v>北見市浄化センター</v>
          </cell>
          <cell r="M34" t="str">
            <v>1</v>
          </cell>
          <cell r="N34" t="str">
            <v>1</v>
          </cell>
          <cell r="O34" t="str">
            <v>1</v>
          </cell>
          <cell r="Q34">
            <v>23285</v>
          </cell>
          <cell r="R34" t="str">
            <v>昭和</v>
          </cell>
          <cell r="S34">
            <v>38</v>
          </cell>
          <cell r="T34">
            <v>10</v>
          </cell>
          <cell r="AB34">
            <v>69000</v>
          </cell>
          <cell r="AC34" t="str">
            <v>常呂川</v>
          </cell>
          <cell r="AD34" t="str">
            <v>Ｂ</v>
          </cell>
          <cell r="AE34" t="str">
            <v>ロ</v>
          </cell>
          <cell r="AF34">
            <v>15</v>
          </cell>
          <cell r="AK34" t="str">
            <v>常呂川</v>
          </cell>
          <cell r="AQ34" t="str">
            <v/>
          </cell>
          <cell r="AR34" t="str">
            <v>標準活性汚泥法</v>
          </cell>
          <cell r="AS34" t="str">
            <v>0120801001</v>
          </cell>
          <cell r="AT34" t="str">
            <v/>
          </cell>
          <cell r="AU34" t="str">
            <v>11</v>
          </cell>
          <cell r="AV34" t="str">
            <v>11</v>
          </cell>
          <cell r="AW34">
            <v>0</v>
          </cell>
          <cell r="AX34">
            <v>0</v>
          </cell>
          <cell r="AY34">
            <v>0</v>
          </cell>
          <cell r="AZ34">
            <v>0</v>
          </cell>
          <cell r="BA34">
            <v>0</v>
          </cell>
          <cell r="BD34" t="str">
            <v/>
          </cell>
          <cell r="BE34">
            <v>1</v>
          </cell>
          <cell r="BG34" t="str">
            <v>1110</v>
          </cell>
        </row>
        <row r="35">
          <cell r="B35" t="str">
            <v>G012080106100200</v>
          </cell>
          <cell r="C35" t="str">
            <v>01.北海道</v>
          </cell>
          <cell r="D35" t="str">
            <v>208</v>
          </cell>
          <cell r="E35" t="str">
            <v>北見市</v>
          </cell>
          <cell r="F35" t="str">
            <v>01</v>
          </cell>
          <cell r="G35" t="str">
            <v>公共 単独</v>
          </cell>
          <cell r="H35" t="str">
            <v>公共下水道</v>
          </cell>
          <cell r="I35" t="str">
            <v>単独</v>
          </cell>
          <cell r="J35" t="str">
            <v>002</v>
          </cell>
          <cell r="K35" t="str">
            <v>留辺蘂町下水道管理センター</v>
          </cell>
          <cell r="M35" t="str">
            <v>1</v>
          </cell>
          <cell r="N35" t="str">
            <v>1</v>
          </cell>
          <cell r="P35" t="str">
            <v>1</v>
          </cell>
          <cell r="Q35">
            <v>32782</v>
          </cell>
          <cell r="R35" t="str">
            <v>平成</v>
          </cell>
          <cell r="S35">
            <v>1</v>
          </cell>
          <cell r="T35">
            <v>10</v>
          </cell>
          <cell r="AB35">
            <v>11384</v>
          </cell>
          <cell r="AF35">
            <v>15</v>
          </cell>
          <cell r="AI35" t="str">
            <v>無加川</v>
          </cell>
          <cell r="AQ35" t="str">
            <v/>
          </cell>
          <cell r="AR35" t="str">
            <v>オキシディションディッチ法</v>
          </cell>
          <cell r="AS35" t="str">
            <v>0120801002</v>
          </cell>
          <cell r="AT35" t="str">
            <v/>
          </cell>
          <cell r="AU35" t="str">
            <v>10</v>
          </cell>
          <cell r="AV35" t="str">
            <v>10</v>
          </cell>
          <cell r="AW35">
            <v>1</v>
          </cell>
          <cell r="AX35">
            <v>0</v>
          </cell>
          <cell r="AY35">
            <v>0</v>
          </cell>
          <cell r="AZ35">
            <v>0</v>
          </cell>
          <cell r="BA35">
            <v>0</v>
          </cell>
          <cell r="BD35" t="str">
            <v/>
          </cell>
          <cell r="BE35">
            <v>1</v>
          </cell>
          <cell r="BG35" t="str">
            <v>1101</v>
          </cell>
        </row>
        <row r="36">
          <cell r="B36" t="str">
            <v>G012080206100300</v>
          </cell>
          <cell r="C36" t="str">
            <v>01.北海道</v>
          </cell>
          <cell r="D36" t="str">
            <v>208</v>
          </cell>
          <cell r="E36" t="str">
            <v>北見市</v>
          </cell>
          <cell r="F36" t="str">
            <v>02</v>
          </cell>
          <cell r="G36" t="str">
            <v>特環 単独</v>
          </cell>
          <cell r="H36" t="str">
            <v>特定環境保全公共下水道</v>
          </cell>
          <cell r="I36" t="str">
            <v>単独</v>
          </cell>
          <cell r="J36" t="str">
            <v>003</v>
          </cell>
          <cell r="K36" t="str">
            <v>常呂終末処理場</v>
          </cell>
          <cell r="M36" t="str">
            <v>1</v>
          </cell>
          <cell r="N36" t="str">
            <v>1</v>
          </cell>
          <cell r="Q36">
            <v>35034</v>
          </cell>
          <cell r="R36" t="str">
            <v>平成</v>
          </cell>
          <cell r="S36">
            <v>7</v>
          </cell>
          <cell r="T36">
            <v>12</v>
          </cell>
          <cell r="AB36">
            <v>17970</v>
          </cell>
          <cell r="AC36" t="str">
            <v>常呂川</v>
          </cell>
          <cell r="AD36" t="str">
            <v>Ｂ</v>
          </cell>
          <cell r="AE36" t="str">
            <v>ロ</v>
          </cell>
          <cell r="AF36">
            <v>15</v>
          </cell>
          <cell r="AK36" t="str">
            <v>常呂川</v>
          </cell>
          <cell r="AQ36" t="str">
            <v/>
          </cell>
          <cell r="AR36" t="str">
            <v>回分式活性汚泥法</v>
          </cell>
          <cell r="AS36" t="str">
            <v>0120802003</v>
          </cell>
          <cell r="AT36" t="str">
            <v/>
          </cell>
          <cell r="AU36" t="str">
            <v>10</v>
          </cell>
          <cell r="AV36" t="str">
            <v>10</v>
          </cell>
          <cell r="AW36">
            <v>0</v>
          </cell>
          <cell r="AX36">
            <v>0</v>
          </cell>
          <cell r="AY36">
            <v>0</v>
          </cell>
          <cell r="AZ36">
            <v>0</v>
          </cell>
          <cell r="BA36">
            <v>0</v>
          </cell>
          <cell r="BD36" t="str">
            <v/>
          </cell>
          <cell r="BE36">
            <v>1</v>
          </cell>
          <cell r="BG36" t="str">
            <v>1100</v>
          </cell>
        </row>
        <row r="37">
          <cell r="B37" t="str">
            <v>G012080206100400</v>
          </cell>
          <cell r="C37" t="str">
            <v>01.北海道</v>
          </cell>
          <cell r="D37" t="str">
            <v>208</v>
          </cell>
          <cell r="E37" t="str">
            <v>北見市</v>
          </cell>
          <cell r="F37" t="str">
            <v>02</v>
          </cell>
          <cell r="G37" t="str">
            <v>特環 単独</v>
          </cell>
          <cell r="H37" t="str">
            <v>特定環境保全公共下水道</v>
          </cell>
          <cell r="I37" t="str">
            <v>単独</v>
          </cell>
          <cell r="J37" t="str">
            <v>004</v>
          </cell>
          <cell r="K37" t="str">
            <v>端野町下水道管理センター</v>
          </cell>
          <cell r="M37" t="str">
            <v>1</v>
          </cell>
          <cell r="N37" t="str">
            <v>1</v>
          </cell>
          <cell r="Q37">
            <v>34973</v>
          </cell>
          <cell r="R37" t="str">
            <v>平成</v>
          </cell>
          <cell r="S37">
            <v>7</v>
          </cell>
          <cell r="T37">
            <v>10</v>
          </cell>
          <cell r="AB37">
            <v>13100</v>
          </cell>
          <cell r="AC37" t="str">
            <v>常呂川</v>
          </cell>
          <cell r="AD37" t="str">
            <v>Ｂ</v>
          </cell>
          <cell r="AE37" t="str">
            <v>ロ</v>
          </cell>
          <cell r="AF37">
            <v>15</v>
          </cell>
          <cell r="AK37" t="str">
            <v>常呂川</v>
          </cell>
          <cell r="AQ37" t="str">
            <v/>
          </cell>
          <cell r="AR37" t="str">
            <v>オキシディションディッチ法</v>
          </cell>
          <cell r="AS37" t="str">
            <v>0120802004</v>
          </cell>
          <cell r="AT37" t="str">
            <v/>
          </cell>
          <cell r="AU37" t="str">
            <v>10</v>
          </cell>
          <cell r="AV37" t="str">
            <v>10</v>
          </cell>
          <cell r="AW37">
            <v>0</v>
          </cell>
          <cell r="AX37">
            <v>0</v>
          </cell>
          <cell r="AY37">
            <v>0</v>
          </cell>
          <cell r="AZ37">
            <v>0</v>
          </cell>
          <cell r="BA37">
            <v>0</v>
          </cell>
          <cell r="BD37" t="str">
            <v/>
          </cell>
          <cell r="BE37">
            <v>1</v>
          </cell>
          <cell r="BG37" t="str">
            <v>1100</v>
          </cell>
        </row>
        <row r="38">
          <cell r="B38" t="str">
            <v>G012090106100100</v>
          </cell>
          <cell r="C38" t="str">
            <v>01.北海道</v>
          </cell>
          <cell r="D38" t="str">
            <v>209</v>
          </cell>
          <cell r="E38" t="str">
            <v>夕張市</v>
          </cell>
          <cell r="F38" t="str">
            <v>01</v>
          </cell>
          <cell r="G38" t="str">
            <v>公共 単独</v>
          </cell>
          <cell r="H38" t="str">
            <v>公共下水道</v>
          </cell>
          <cell r="I38" t="str">
            <v>単独</v>
          </cell>
          <cell r="J38" t="str">
            <v>001</v>
          </cell>
          <cell r="K38" t="str">
            <v>夕張市平和浄化センター</v>
          </cell>
          <cell r="M38" t="str">
            <v>1</v>
          </cell>
          <cell r="N38" t="str">
            <v>1</v>
          </cell>
          <cell r="Q38">
            <v>34759</v>
          </cell>
          <cell r="R38" t="str">
            <v>平成</v>
          </cell>
          <cell r="S38">
            <v>7</v>
          </cell>
          <cell r="T38">
            <v>3</v>
          </cell>
          <cell r="AB38">
            <v>15100</v>
          </cell>
          <cell r="AF38">
            <v>15</v>
          </cell>
          <cell r="AI38" t="str">
            <v>志幌加別川</v>
          </cell>
          <cell r="AK38" t="str">
            <v>夕張川</v>
          </cell>
          <cell r="AQ38" t="str">
            <v/>
          </cell>
          <cell r="AR38" t="str">
            <v>オキシディションディッチ法</v>
          </cell>
          <cell r="AS38" t="str">
            <v>0120901001</v>
          </cell>
          <cell r="AT38" t="str">
            <v/>
          </cell>
          <cell r="AU38" t="str">
            <v>10</v>
          </cell>
          <cell r="AV38" t="str">
            <v>10</v>
          </cell>
          <cell r="AW38">
            <v>0</v>
          </cell>
          <cell r="AX38">
            <v>0</v>
          </cell>
          <cell r="AY38">
            <v>0</v>
          </cell>
          <cell r="AZ38">
            <v>0</v>
          </cell>
          <cell r="BA38">
            <v>0</v>
          </cell>
          <cell r="BD38" t="str">
            <v/>
          </cell>
          <cell r="BE38">
            <v>1</v>
          </cell>
          <cell r="BG38" t="str">
            <v>1100</v>
          </cell>
        </row>
        <row r="39">
          <cell r="B39" t="str">
            <v>G012100106100100</v>
          </cell>
          <cell r="C39" t="str">
            <v>01.北海道</v>
          </cell>
          <cell r="D39" t="str">
            <v>210</v>
          </cell>
          <cell r="E39" t="str">
            <v>岩見沢市</v>
          </cell>
          <cell r="F39" t="str">
            <v>01</v>
          </cell>
          <cell r="G39" t="str">
            <v>公共 単独</v>
          </cell>
          <cell r="H39" t="str">
            <v>公共下水道</v>
          </cell>
          <cell r="I39" t="str">
            <v>単独</v>
          </cell>
          <cell r="J39" t="str">
            <v>001</v>
          </cell>
          <cell r="K39" t="str">
            <v>南光園処理場</v>
          </cell>
          <cell r="M39" t="str">
            <v>1</v>
          </cell>
          <cell r="N39" t="str">
            <v>1</v>
          </cell>
          <cell r="O39" t="str">
            <v>1</v>
          </cell>
          <cell r="Q39">
            <v>26969</v>
          </cell>
          <cell r="R39" t="str">
            <v>昭和</v>
          </cell>
          <cell r="S39">
            <v>48</v>
          </cell>
          <cell r="T39">
            <v>11</v>
          </cell>
          <cell r="AB39">
            <v>69478</v>
          </cell>
          <cell r="AC39" t="str">
            <v>設定なし</v>
          </cell>
          <cell r="AF39">
            <v>15</v>
          </cell>
          <cell r="AK39" t="str">
            <v>利根別川</v>
          </cell>
          <cell r="AQ39" t="str">
            <v/>
          </cell>
          <cell r="AR39" t="str">
            <v>標準活性汚泥法</v>
          </cell>
          <cell r="AS39" t="str">
            <v>0121001001</v>
          </cell>
          <cell r="AT39" t="str">
            <v/>
          </cell>
          <cell r="AU39" t="str">
            <v>11</v>
          </cell>
          <cell r="AV39" t="str">
            <v>11</v>
          </cell>
          <cell r="AW39">
            <v>0</v>
          </cell>
          <cell r="AX39">
            <v>0</v>
          </cell>
          <cell r="AY39">
            <v>0</v>
          </cell>
          <cell r="AZ39">
            <v>0</v>
          </cell>
          <cell r="BA39">
            <v>0</v>
          </cell>
          <cell r="BD39" t="str">
            <v/>
          </cell>
          <cell r="BE39">
            <v>1</v>
          </cell>
          <cell r="BG39" t="str">
            <v>1110</v>
          </cell>
        </row>
        <row r="40">
          <cell r="B40" t="str">
            <v>G012100106100200</v>
          </cell>
          <cell r="C40" t="str">
            <v>01.北海道</v>
          </cell>
          <cell r="D40" t="str">
            <v>210</v>
          </cell>
          <cell r="E40" t="str">
            <v>岩見沢市</v>
          </cell>
          <cell r="F40" t="str">
            <v>01</v>
          </cell>
          <cell r="G40" t="str">
            <v>公共 単独</v>
          </cell>
          <cell r="H40" t="str">
            <v>公共下水道</v>
          </cell>
          <cell r="I40" t="str">
            <v>単独</v>
          </cell>
          <cell r="J40" t="str">
            <v>002</v>
          </cell>
          <cell r="K40" t="str">
            <v>栗沢下水道管理センター</v>
          </cell>
          <cell r="M40" t="str">
            <v>1</v>
          </cell>
          <cell r="N40" t="str">
            <v>1</v>
          </cell>
          <cell r="Q40">
            <v>33878</v>
          </cell>
          <cell r="R40" t="str">
            <v>平成</v>
          </cell>
          <cell r="S40">
            <v>4</v>
          </cell>
          <cell r="T40">
            <v>10</v>
          </cell>
          <cell r="AB40">
            <v>14030</v>
          </cell>
          <cell r="AC40" t="str">
            <v>設定なし</v>
          </cell>
          <cell r="AF40">
            <v>15</v>
          </cell>
          <cell r="AK40" t="str">
            <v>清真布川</v>
          </cell>
          <cell r="AQ40" t="str">
            <v/>
          </cell>
          <cell r="AR40" t="str">
            <v>回分式活性汚泥法</v>
          </cell>
          <cell r="AS40" t="str">
            <v>0121001002</v>
          </cell>
          <cell r="AT40" t="str">
            <v/>
          </cell>
          <cell r="AU40" t="str">
            <v>10</v>
          </cell>
          <cell r="AV40" t="str">
            <v>10</v>
          </cell>
          <cell r="AW40">
            <v>0</v>
          </cell>
          <cell r="AX40">
            <v>0</v>
          </cell>
          <cell r="AY40">
            <v>0</v>
          </cell>
          <cell r="AZ40">
            <v>0</v>
          </cell>
          <cell r="BA40">
            <v>0</v>
          </cell>
          <cell r="BD40" t="str">
            <v/>
          </cell>
          <cell r="BE40">
            <v>1</v>
          </cell>
          <cell r="BG40" t="str">
            <v>1100</v>
          </cell>
        </row>
        <row r="41">
          <cell r="B41" t="str">
            <v>G012100106100300</v>
          </cell>
          <cell r="C41" t="str">
            <v>01.北海道</v>
          </cell>
          <cell r="D41" t="str">
            <v>210</v>
          </cell>
          <cell r="E41" t="str">
            <v>岩見沢市</v>
          </cell>
          <cell r="F41" t="str">
            <v>01</v>
          </cell>
          <cell r="G41" t="str">
            <v>公共 単独</v>
          </cell>
          <cell r="H41" t="str">
            <v>公共下水道</v>
          </cell>
          <cell r="I41" t="str">
            <v>単独</v>
          </cell>
          <cell r="J41" t="str">
            <v>003</v>
          </cell>
          <cell r="K41" t="str">
            <v>幌向終末処理場</v>
          </cell>
          <cell r="M41" t="str">
            <v>1</v>
          </cell>
          <cell r="N41" t="str">
            <v>1</v>
          </cell>
          <cell r="Q41">
            <v>36251</v>
          </cell>
          <cell r="R41" t="str">
            <v>平成</v>
          </cell>
          <cell r="S41">
            <v>11</v>
          </cell>
          <cell r="T41">
            <v>4</v>
          </cell>
          <cell r="AB41">
            <v>19200</v>
          </cell>
          <cell r="AC41" t="str">
            <v>設定なし</v>
          </cell>
          <cell r="AF41">
            <v>15</v>
          </cell>
          <cell r="AK41" t="str">
            <v>旧幌向川</v>
          </cell>
          <cell r="AQ41" t="str">
            <v/>
          </cell>
          <cell r="AR41" t="str">
            <v>標準活性汚泥法</v>
          </cell>
          <cell r="AS41" t="str">
            <v>0121001003</v>
          </cell>
          <cell r="AT41" t="str">
            <v/>
          </cell>
          <cell r="AU41" t="str">
            <v>10</v>
          </cell>
          <cell r="AV41" t="str">
            <v>10</v>
          </cell>
          <cell r="AW41">
            <v>0</v>
          </cell>
          <cell r="AX41">
            <v>0</v>
          </cell>
          <cell r="AY41">
            <v>0</v>
          </cell>
          <cell r="AZ41">
            <v>0</v>
          </cell>
          <cell r="BA41">
            <v>0</v>
          </cell>
          <cell r="BD41" t="str">
            <v/>
          </cell>
          <cell r="BE41">
            <v>1</v>
          </cell>
          <cell r="BG41" t="str">
            <v>1100</v>
          </cell>
        </row>
        <row r="42">
          <cell r="B42" t="str">
            <v>G012110106100100</v>
          </cell>
          <cell r="C42" t="str">
            <v>01.北海道</v>
          </cell>
          <cell r="D42" t="str">
            <v>211</v>
          </cell>
          <cell r="E42" t="str">
            <v>網走市</v>
          </cell>
          <cell r="F42" t="str">
            <v>01</v>
          </cell>
          <cell r="G42" t="str">
            <v>公共 単独</v>
          </cell>
          <cell r="H42" t="str">
            <v>公共下水道</v>
          </cell>
          <cell r="I42" t="str">
            <v>単独</v>
          </cell>
          <cell r="J42" t="str">
            <v>001</v>
          </cell>
          <cell r="K42" t="str">
            <v>網走浄化センター</v>
          </cell>
          <cell r="M42" t="str">
            <v>1</v>
          </cell>
          <cell r="P42" t="str">
            <v>1</v>
          </cell>
          <cell r="Q42">
            <v>28307</v>
          </cell>
          <cell r="R42" t="str">
            <v>昭和</v>
          </cell>
          <cell r="S42">
            <v>52</v>
          </cell>
          <cell r="T42">
            <v>7</v>
          </cell>
          <cell r="AB42">
            <v>12004</v>
          </cell>
          <cell r="AC42" t="str">
            <v>網走海域</v>
          </cell>
          <cell r="AD42" t="str">
            <v>Ａ</v>
          </cell>
          <cell r="AE42" t="str">
            <v>ロ</v>
          </cell>
          <cell r="AF42">
            <v>15</v>
          </cell>
          <cell r="AG42">
            <v>20</v>
          </cell>
          <cell r="AH42">
            <v>3</v>
          </cell>
          <cell r="AI42" t="str">
            <v>オホーツク海</v>
          </cell>
          <cell r="AQ42" t="str">
            <v/>
          </cell>
          <cell r="AR42" t="str">
            <v>嫌気無酸素好気法</v>
          </cell>
          <cell r="AS42" t="str">
            <v>0121101001</v>
          </cell>
          <cell r="AT42" t="str">
            <v/>
          </cell>
          <cell r="AU42" t="str">
            <v>00</v>
          </cell>
          <cell r="AV42" t="str">
            <v>00</v>
          </cell>
          <cell r="AW42">
            <v>1</v>
          </cell>
          <cell r="AX42">
            <v>0</v>
          </cell>
          <cell r="AY42">
            <v>0</v>
          </cell>
          <cell r="AZ42">
            <v>0</v>
          </cell>
          <cell r="BA42">
            <v>0</v>
          </cell>
          <cell r="BD42" t="str">
            <v/>
          </cell>
          <cell r="BE42">
            <v>1</v>
          </cell>
          <cell r="BG42" t="str">
            <v>1001</v>
          </cell>
        </row>
        <row r="43">
          <cell r="B43" t="str">
            <v>G012110106100200</v>
          </cell>
          <cell r="C43" t="str">
            <v>01.北海道</v>
          </cell>
          <cell r="D43" t="str">
            <v>211</v>
          </cell>
          <cell r="E43" t="str">
            <v>網走市</v>
          </cell>
          <cell r="F43" t="str">
            <v>01</v>
          </cell>
          <cell r="G43" t="str">
            <v>公共 単独</v>
          </cell>
          <cell r="H43" t="str">
            <v>公共下水道</v>
          </cell>
          <cell r="I43" t="str">
            <v>単独</v>
          </cell>
          <cell r="J43" t="str">
            <v>002</v>
          </cell>
          <cell r="K43" t="str">
            <v>スラッジセンター</v>
          </cell>
          <cell r="N43" t="str">
            <v>1</v>
          </cell>
          <cell r="Q43">
            <v>32234</v>
          </cell>
          <cell r="R43" t="str">
            <v>昭和</v>
          </cell>
          <cell r="S43">
            <v>63</v>
          </cell>
          <cell r="T43">
            <v>4</v>
          </cell>
          <cell r="AB43">
            <v>7300</v>
          </cell>
          <cell r="AC43" t="str">
            <v>該当しない</v>
          </cell>
          <cell r="AI43" t="str">
            <v>該当しない</v>
          </cell>
          <cell r="AQ43" t="str">
            <v/>
          </cell>
          <cell r="AR43" t="str">
            <v/>
          </cell>
          <cell r="AS43" t="str">
            <v>0121101002</v>
          </cell>
          <cell r="AT43" t="str">
            <v/>
          </cell>
          <cell r="AU43" t="str">
            <v>10</v>
          </cell>
          <cell r="AV43" t="str">
            <v>10</v>
          </cell>
          <cell r="AW43">
            <v>0</v>
          </cell>
          <cell r="AX43">
            <v>0</v>
          </cell>
          <cell r="AY43">
            <v>0</v>
          </cell>
          <cell r="AZ43">
            <v>0</v>
          </cell>
          <cell r="BA43">
            <v>0</v>
          </cell>
          <cell r="BD43" t="str">
            <v/>
          </cell>
          <cell r="BE43">
            <v>1</v>
          </cell>
          <cell r="BG43" t="str">
            <v>0100</v>
          </cell>
        </row>
        <row r="44">
          <cell r="B44" t="str">
            <v>G012110106100300</v>
          </cell>
          <cell r="C44" t="str">
            <v>01.北海道</v>
          </cell>
          <cell r="D44" t="str">
            <v>211</v>
          </cell>
          <cell r="E44" t="str">
            <v>網走市</v>
          </cell>
          <cell r="F44" t="str">
            <v>01</v>
          </cell>
          <cell r="G44" t="str">
            <v>公共 単独</v>
          </cell>
          <cell r="H44" t="str">
            <v>公共下水道</v>
          </cell>
          <cell r="I44" t="str">
            <v>単独</v>
          </cell>
          <cell r="J44" t="str">
            <v>003</v>
          </cell>
          <cell r="K44" t="str">
            <v>コンポストヤード</v>
          </cell>
          <cell r="O44" t="str">
            <v>1</v>
          </cell>
          <cell r="Q44">
            <v>35704</v>
          </cell>
          <cell r="R44" t="str">
            <v>平成</v>
          </cell>
          <cell r="S44">
            <v>9</v>
          </cell>
          <cell r="T44">
            <v>10</v>
          </cell>
          <cell r="AB44">
            <v>6600</v>
          </cell>
          <cell r="AC44" t="str">
            <v>該当しない</v>
          </cell>
          <cell r="AI44" t="str">
            <v>該当しない</v>
          </cell>
          <cell r="AQ44" t="str">
            <v/>
          </cell>
          <cell r="AR44" t="str">
            <v/>
          </cell>
          <cell r="AS44" t="str">
            <v>0121101003</v>
          </cell>
          <cell r="AT44" t="str">
            <v/>
          </cell>
          <cell r="AU44" t="str">
            <v>01</v>
          </cell>
          <cell r="AV44" t="str">
            <v>01</v>
          </cell>
          <cell r="AW44">
            <v>0</v>
          </cell>
          <cell r="AX44">
            <v>0</v>
          </cell>
          <cell r="AY44">
            <v>0</v>
          </cell>
          <cell r="AZ44">
            <v>0</v>
          </cell>
          <cell r="BA44">
            <v>0</v>
          </cell>
          <cell r="BD44" t="str">
            <v/>
          </cell>
          <cell r="BE44">
            <v>1</v>
          </cell>
          <cell r="BG44" t="str">
            <v>0010</v>
          </cell>
        </row>
        <row r="45">
          <cell r="B45" t="str">
            <v>G012120106100100</v>
          </cell>
          <cell r="C45" t="str">
            <v>01.北海道</v>
          </cell>
          <cell r="D45" t="str">
            <v>212</v>
          </cell>
          <cell r="E45" t="str">
            <v>留萌市</v>
          </cell>
          <cell r="F45" t="str">
            <v>01</v>
          </cell>
          <cell r="G45" t="str">
            <v>公共 単独</v>
          </cell>
          <cell r="H45" t="str">
            <v>公共下水道</v>
          </cell>
          <cell r="I45" t="str">
            <v>単独</v>
          </cell>
          <cell r="J45" t="str">
            <v>001</v>
          </cell>
          <cell r="K45" t="str">
            <v>留萌浄化センター</v>
          </cell>
          <cell r="M45" t="str">
            <v>1</v>
          </cell>
          <cell r="N45" t="str">
            <v>1</v>
          </cell>
          <cell r="Q45">
            <v>33695</v>
          </cell>
          <cell r="R45" t="str">
            <v>平成</v>
          </cell>
          <cell r="S45">
            <v>4</v>
          </cell>
          <cell r="T45">
            <v>4</v>
          </cell>
          <cell r="AB45">
            <v>32628</v>
          </cell>
          <cell r="AC45" t="str">
            <v>留萌川下流</v>
          </cell>
          <cell r="AD45" t="str">
            <v>Ａ</v>
          </cell>
          <cell r="AE45" t="str">
            <v>イ</v>
          </cell>
          <cell r="AF45">
            <v>15</v>
          </cell>
          <cell r="AK45" t="str">
            <v>留萌川</v>
          </cell>
          <cell r="AQ45" t="str">
            <v/>
          </cell>
          <cell r="AR45" t="str">
            <v>標準活性汚泥法</v>
          </cell>
          <cell r="AS45" t="str">
            <v>0121201001</v>
          </cell>
          <cell r="AT45" t="str">
            <v/>
          </cell>
          <cell r="AU45" t="str">
            <v>10</v>
          </cell>
          <cell r="AV45" t="str">
            <v>10</v>
          </cell>
          <cell r="AW45">
            <v>0</v>
          </cell>
          <cell r="AX45">
            <v>0</v>
          </cell>
          <cell r="AY45">
            <v>0</v>
          </cell>
          <cell r="AZ45">
            <v>0</v>
          </cell>
          <cell r="BA45">
            <v>0</v>
          </cell>
          <cell r="BD45" t="str">
            <v/>
          </cell>
          <cell r="BE45">
            <v>1</v>
          </cell>
          <cell r="BG45" t="str">
            <v>1100</v>
          </cell>
        </row>
        <row r="46">
          <cell r="B46" t="str">
            <v>G012130106100100</v>
          </cell>
          <cell r="C46" t="str">
            <v>01.北海道</v>
          </cell>
          <cell r="D46" t="str">
            <v>213</v>
          </cell>
          <cell r="E46" t="str">
            <v>苫小牧市</v>
          </cell>
          <cell r="F46" t="str">
            <v>01</v>
          </cell>
          <cell r="G46" t="str">
            <v>公共 単独</v>
          </cell>
          <cell r="H46" t="str">
            <v>公共下水道</v>
          </cell>
          <cell r="I46" t="str">
            <v>単独</v>
          </cell>
          <cell r="J46" t="str">
            <v>001</v>
          </cell>
          <cell r="K46" t="str">
            <v>高砂下水処理センター</v>
          </cell>
          <cell r="M46" t="str">
            <v>1</v>
          </cell>
          <cell r="Q46">
            <v>21641</v>
          </cell>
          <cell r="R46" t="str">
            <v>昭和</v>
          </cell>
          <cell r="S46">
            <v>34</v>
          </cell>
          <cell r="T46">
            <v>4</v>
          </cell>
          <cell r="AB46">
            <v>20820</v>
          </cell>
          <cell r="AC46" t="str">
            <v>苫小牧海域（２）</v>
          </cell>
          <cell r="AD46" t="str">
            <v>Ｃ</v>
          </cell>
          <cell r="AE46" t="str">
            <v>ロ</v>
          </cell>
          <cell r="AF46">
            <v>15</v>
          </cell>
          <cell r="AI46" t="str">
            <v>太平洋</v>
          </cell>
          <cell r="AQ46" t="str">
            <v/>
          </cell>
          <cell r="AR46" t="str">
            <v>標準活性汚泥法</v>
          </cell>
          <cell r="AS46" t="str">
            <v>0121301001</v>
          </cell>
          <cell r="AT46" t="str">
            <v/>
          </cell>
          <cell r="AU46" t="str">
            <v>00</v>
          </cell>
          <cell r="AV46" t="str">
            <v>00</v>
          </cell>
          <cell r="AW46">
            <v>0</v>
          </cell>
          <cell r="AX46">
            <v>0</v>
          </cell>
          <cell r="AY46">
            <v>0</v>
          </cell>
          <cell r="AZ46">
            <v>0</v>
          </cell>
          <cell r="BA46">
            <v>0</v>
          </cell>
          <cell r="BD46" t="str">
            <v/>
          </cell>
          <cell r="BE46">
            <v>1</v>
          </cell>
          <cell r="BG46" t="str">
            <v>1000</v>
          </cell>
        </row>
        <row r="47">
          <cell r="B47" t="str">
            <v>G012130106100200</v>
          </cell>
          <cell r="C47" t="str">
            <v>01.北海道</v>
          </cell>
          <cell r="D47" t="str">
            <v>213</v>
          </cell>
          <cell r="E47" t="str">
            <v>苫小牧市</v>
          </cell>
          <cell r="F47" t="str">
            <v>01</v>
          </cell>
          <cell r="G47" t="str">
            <v>公共 単独</v>
          </cell>
          <cell r="H47" t="str">
            <v>公共下水道</v>
          </cell>
          <cell r="I47" t="str">
            <v>単独</v>
          </cell>
          <cell r="J47" t="str">
            <v>002</v>
          </cell>
          <cell r="K47" t="str">
            <v>西町下水処理センター</v>
          </cell>
          <cell r="M47" t="str">
            <v>1</v>
          </cell>
          <cell r="N47" t="str">
            <v>1</v>
          </cell>
          <cell r="O47" t="str">
            <v>1</v>
          </cell>
          <cell r="Q47">
            <v>25173</v>
          </cell>
          <cell r="R47" t="str">
            <v>昭和</v>
          </cell>
          <cell r="S47">
            <v>43</v>
          </cell>
          <cell r="T47">
            <v>12</v>
          </cell>
          <cell r="AB47">
            <v>33000</v>
          </cell>
          <cell r="AC47" t="str">
            <v>苫小牧川</v>
          </cell>
          <cell r="AD47" t="str">
            <v>Ａ</v>
          </cell>
          <cell r="AE47" t="str">
            <v>イ</v>
          </cell>
          <cell r="AF47">
            <v>15</v>
          </cell>
          <cell r="AI47" t="str">
            <v>苫小牧川</v>
          </cell>
          <cell r="AJ47" t="str">
            <v>苫小牧川</v>
          </cell>
          <cell r="AQ47" t="str">
            <v/>
          </cell>
          <cell r="AR47" t="str">
            <v>標準活性汚泥法</v>
          </cell>
          <cell r="AS47" t="str">
            <v>0121301002</v>
          </cell>
          <cell r="AT47" t="str">
            <v/>
          </cell>
          <cell r="AU47" t="str">
            <v>11</v>
          </cell>
          <cell r="AV47" t="str">
            <v>11</v>
          </cell>
          <cell r="AW47">
            <v>0</v>
          </cell>
          <cell r="AX47">
            <v>0</v>
          </cell>
          <cell r="AY47">
            <v>0</v>
          </cell>
          <cell r="AZ47">
            <v>0</v>
          </cell>
          <cell r="BA47">
            <v>0</v>
          </cell>
          <cell r="BD47" t="str">
            <v/>
          </cell>
          <cell r="BE47">
            <v>1</v>
          </cell>
          <cell r="BG47" t="str">
            <v>1110</v>
          </cell>
        </row>
        <row r="48">
          <cell r="B48" t="str">
            <v>G012130106100300</v>
          </cell>
          <cell r="C48" t="str">
            <v>01.北海道</v>
          </cell>
          <cell r="D48" t="str">
            <v>213</v>
          </cell>
          <cell r="E48" t="str">
            <v>苫小牧市</v>
          </cell>
          <cell r="F48" t="str">
            <v>01</v>
          </cell>
          <cell r="G48" t="str">
            <v>公共 単独</v>
          </cell>
          <cell r="H48" t="str">
            <v>公共下水道</v>
          </cell>
          <cell r="I48" t="str">
            <v>単独</v>
          </cell>
          <cell r="J48" t="str">
            <v>003</v>
          </cell>
          <cell r="K48" t="str">
            <v>勇払下水処理センター</v>
          </cell>
          <cell r="M48" t="str">
            <v>1</v>
          </cell>
          <cell r="N48" t="str">
            <v>1</v>
          </cell>
          <cell r="O48" t="str">
            <v>1</v>
          </cell>
          <cell r="Q48">
            <v>28915</v>
          </cell>
          <cell r="R48" t="str">
            <v>昭和</v>
          </cell>
          <cell r="S48">
            <v>54</v>
          </cell>
          <cell r="T48">
            <v>3</v>
          </cell>
          <cell r="AB48">
            <v>48000</v>
          </cell>
          <cell r="AC48" t="str">
            <v>苫小牧海域（３）</v>
          </cell>
          <cell r="AD48" t="str">
            <v>Ｃ</v>
          </cell>
          <cell r="AE48" t="str">
            <v>イ</v>
          </cell>
          <cell r="AF48">
            <v>15</v>
          </cell>
          <cell r="AI48" t="str">
            <v>太平洋</v>
          </cell>
          <cell r="AQ48" t="str">
            <v/>
          </cell>
          <cell r="AR48" t="str">
            <v>標準活性汚泥法</v>
          </cell>
          <cell r="AS48" t="str">
            <v>0121301003</v>
          </cell>
          <cell r="AT48" t="str">
            <v/>
          </cell>
          <cell r="AU48" t="str">
            <v>11</v>
          </cell>
          <cell r="AV48" t="str">
            <v>11</v>
          </cell>
          <cell r="AW48">
            <v>0</v>
          </cell>
          <cell r="AX48">
            <v>0</v>
          </cell>
          <cell r="AY48">
            <v>0</v>
          </cell>
          <cell r="AZ48">
            <v>0</v>
          </cell>
          <cell r="BA48">
            <v>0</v>
          </cell>
          <cell r="BD48" t="str">
            <v/>
          </cell>
          <cell r="BE48">
            <v>1</v>
          </cell>
          <cell r="BG48" t="str">
            <v>1110</v>
          </cell>
        </row>
        <row r="49">
          <cell r="B49" t="str">
            <v>G012140106100100</v>
          </cell>
          <cell r="C49" t="str">
            <v>01.北海道</v>
          </cell>
          <cell r="D49" t="str">
            <v>214</v>
          </cell>
          <cell r="E49" t="str">
            <v>稚内市</v>
          </cell>
          <cell r="F49" t="str">
            <v>01</v>
          </cell>
          <cell r="G49" t="str">
            <v>公共 単独</v>
          </cell>
          <cell r="H49" t="str">
            <v>公共下水道</v>
          </cell>
          <cell r="I49" t="str">
            <v>単独</v>
          </cell>
          <cell r="J49" t="str">
            <v>001</v>
          </cell>
          <cell r="K49" t="str">
            <v>稚内市終末処理場</v>
          </cell>
          <cell r="M49" t="str">
            <v>1</v>
          </cell>
          <cell r="N49" t="str">
            <v>1</v>
          </cell>
          <cell r="Q49">
            <v>30756</v>
          </cell>
          <cell r="R49" t="str">
            <v>昭和</v>
          </cell>
          <cell r="S49">
            <v>59</v>
          </cell>
          <cell r="T49">
            <v>3</v>
          </cell>
          <cell r="AB49">
            <v>41437</v>
          </cell>
          <cell r="AC49" t="str">
            <v>稚内海域（1）</v>
          </cell>
          <cell r="AD49" t="str">
            <v>Ｃ</v>
          </cell>
          <cell r="AE49" t="str">
            <v>イ</v>
          </cell>
          <cell r="AF49">
            <v>15</v>
          </cell>
          <cell r="AI49" t="str">
            <v>エノシコマナイ川</v>
          </cell>
          <cell r="AQ49" t="str">
            <v/>
          </cell>
          <cell r="AR49" t="str">
            <v>標準活性汚泥法</v>
          </cell>
          <cell r="AS49" t="str">
            <v>0121401001</v>
          </cell>
          <cell r="AT49" t="str">
            <v/>
          </cell>
          <cell r="AU49" t="str">
            <v>10</v>
          </cell>
          <cell r="AV49" t="str">
            <v>10</v>
          </cell>
          <cell r="AW49">
            <v>0</v>
          </cell>
          <cell r="AX49">
            <v>0</v>
          </cell>
          <cell r="AY49">
            <v>0</v>
          </cell>
          <cell r="AZ49">
            <v>0</v>
          </cell>
          <cell r="BA49">
            <v>0</v>
          </cell>
          <cell r="BD49" t="str">
            <v/>
          </cell>
          <cell r="BE49">
            <v>1</v>
          </cell>
          <cell r="BG49" t="str">
            <v>1100</v>
          </cell>
        </row>
        <row r="50">
          <cell r="B50" t="str">
            <v>G012170106100100</v>
          </cell>
          <cell r="C50" t="str">
            <v>01.北海道</v>
          </cell>
          <cell r="D50" t="str">
            <v>217</v>
          </cell>
          <cell r="E50" t="str">
            <v>江別市</v>
          </cell>
          <cell r="F50" t="str">
            <v>01</v>
          </cell>
          <cell r="G50" t="str">
            <v>公共 単独</v>
          </cell>
          <cell r="H50" t="str">
            <v>公共下水道</v>
          </cell>
          <cell r="I50" t="str">
            <v>単独</v>
          </cell>
          <cell r="J50" t="str">
            <v>001</v>
          </cell>
          <cell r="K50" t="str">
            <v>江別浄化センター</v>
          </cell>
          <cell r="M50" t="str">
            <v>1</v>
          </cell>
          <cell r="N50" t="str">
            <v>1</v>
          </cell>
          <cell r="O50" t="str">
            <v>1</v>
          </cell>
          <cell r="P50" t="str">
            <v>1</v>
          </cell>
          <cell r="Q50">
            <v>26755</v>
          </cell>
          <cell r="R50" t="str">
            <v>昭和</v>
          </cell>
          <cell r="S50">
            <v>48</v>
          </cell>
          <cell r="T50">
            <v>4</v>
          </cell>
          <cell r="AB50">
            <v>67000</v>
          </cell>
          <cell r="AC50" t="str">
            <v>石狩川中流下流区域</v>
          </cell>
          <cell r="AD50" t="str">
            <v>Ｂ</v>
          </cell>
          <cell r="AE50" t="str">
            <v>ロ</v>
          </cell>
          <cell r="AF50">
            <v>15</v>
          </cell>
          <cell r="AK50" t="str">
            <v>石狩川</v>
          </cell>
          <cell r="AQ50" t="str">
            <v/>
          </cell>
          <cell r="AR50" t="str">
            <v>標準活性汚泥法</v>
          </cell>
          <cell r="AS50" t="str">
            <v>0121701001</v>
          </cell>
          <cell r="AT50" t="str">
            <v/>
          </cell>
          <cell r="AU50" t="str">
            <v>11</v>
          </cell>
          <cell r="AV50" t="str">
            <v>11</v>
          </cell>
          <cell r="AW50">
            <v>1</v>
          </cell>
          <cell r="AX50">
            <v>0</v>
          </cell>
          <cell r="AY50">
            <v>0</v>
          </cell>
          <cell r="AZ50">
            <v>0</v>
          </cell>
          <cell r="BA50">
            <v>0</v>
          </cell>
          <cell r="BD50" t="str">
            <v/>
          </cell>
          <cell r="BE50">
            <v>1</v>
          </cell>
          <cell r="BG50" t="str">
            <v>1111</v>
          </cell>
        </row>
        <row r="51">
          <cell r="B51" t="str">
            <v>G012190106100100</v>
          </cell>
          <cell r="C51" t="str">
            <v>01.北海道</v>
          </cell>
          <cell r="D51" t="str">
            <v>219</v>
          </cell>
          <cell r="E51" t="str">
            <v>紋別市</v>
          </cell>
          <cell r="F51" t="str">
            <v>01</v>
          </cell>
          <cell r="G51" t="str">
            <v>公共 単独</v>
          </cell>
          <cell r="H51" t="str">
            <v>公共下水道</v>
          </cell>
          <cell r="I51" t="str">
            <v>単独</v>
          </cell>
          <cell r="J51" t="str">
            <v>001</v>
          </cell>
          <cell r="K51" t="str">
            <v>紋別アクアセンター</v>
          </cell>
          <cell r="M51" t="str">
            <v>1</v>
          </cell>
          <cell r="N51" t="str">
            <v>1</v>
          </cell>
          <cell r="Q51">
            <v>26634</v>
          </cell>
          <cell r="R51" t="str">
            <v>昭和</v>
          </cell>
          <cell r="S51">
            <v>47</v>
          </cell>
          <cell r="T51">
            <v>12</v>
          </cell>
          <cell r="AB51">
            <v>17455</v>
          </cell>
          <cell r="AC51" t="str">
            <v>設定なし</v>
          </cell>
          <cell r="AF51">
            <v>15</v>
          </cell>
          <cell r="AI51" t="str">
            <v>紋別海域(ｵﾝﾈﾅｲ川)</v>
          </cell>
          <cell r="AQ51" t="str">
            <v/>
          </cell>
          <cell r="AR51" t="str">
            <v>標準活性汚泥法</v>
          </cell>
          <cell r="AS51" t="str">
            <v>0121901001</v>
          </cell>
          <cell r="AT51" t="str">
            <v/>
          </cell>
          <cell r="AU51" t="str">
            <v>10</v>
          </cell>
          <cell r="AV51" t="str">
            <v>10</v>
          </cell>
          <cell r="AW51">
            <v>0</v>
          </cell>
          <cell r="AX51">
            <v>0</v>
          </cell>
          <cell r="AY51">
            <v>0</v>
          </cell>
          <cell r="AZ51">
            <v>0</v>
          </cell>
          <cell r="BA51">
            <v>0</v>
          </cell>
          <cell r="BD51" t="str">
            <v/>
          </cell>
          <cell r="BE51">
            <v>1</v>
          </cell>
          <cell r="BG51" t="str">
            <v>1100</v>
          </cell>
        </row>
        <row r="52">
          <cell r="B52" t="str">
            <v>G012200106100100</v>
          </cell>
          <cell r="C52" t="str">
            <v>01.北海道</v>
          </cell>
          <cell r="D52" t="str">
            <v>220</v>
          </cell>
          <cell r="E52" t="str">
            <v>士別市</v>
          </cell>
          <cell r="F52" t="str">
            <v>01</v>
          </cell>
          <cell r="G52" t="str">
            <v>公共 単独</v>
          </cell>
          <cell r="H52" t="str">
            <v>公共下水道</v>
          </cell>
          <cell r="I52" t="str">
            <v>単独</v>
          </cell>
          <cell r="J52" t="str">
            <v>001</v>
          </cell>
          <cell r="K52" t="str">
            <v>士別下水処理場</v>
          </cell>
          <cell r="M52" t="str">
            <v>1</v>
          </cell>
          <cell r="N52" t="str">
            <v>1</v>
          </cell>
          <cell r="O52" t="str">
            <v>1</v>
          </cell>
          <cell r="Q52">
            <v>27120</v>
          </cell>
          <cell r="R52" t="str">
            <v>昭和</v>
          </cell>
          <cell r="S52">
            <v>49</v>
          </cell>
          <cell r="T52">
            <v>4</v>
          </cell>
          <cell r="AB52">
            <v>27900</v>
          </cell>
          <cell r="AC52" t="str">
            <v>天塩川下流</v>
          </cell>
          <cell r="AD52" t="str">
            <v>Ｂ</v>
          </cell>
          <cell r="AE52" t="str">
            <v>ロ</v>
          </cell>
          <cell r="AF52">
            <v>15</v>
          </cell>
          <cell r="AI52" t="str">
            <v>剣淵川</v>
          </cell>
          <cell r="AK52" t="str">
            <v>天塩川</v>
          </cell>
          <cell r="AQ52" t="str">
            <v/>
          </cell>
          <cell r="AR52" t="str">
            <v>標準活性汚泥法</v>
          </cell>
          <cell r="AS52" t="str">
            <v>0122001001</v>
          </cell>
          <cell r="AT52" t="str">
            <v/>
          </cell>
          <cell r="AU52" t="str">
            <v>11</v>
          </cell>
          <cell r="AV52" t="str">
            <v>11</v>
          </cell>
          <cell r="AW52">
            <v>0</v>
          </cell>
          <cell r="AX52">
            <v>0</v>
          </cell>
          <cell r="AY52">
            <v>0</v>
          </cell>
          <cell r="AZ52">
            <v>0</v>
          </cell>
          <cell r="BA52">
            <v>0</v>
          </cell>
          <cell r="BD52" t="str">
            <v/>
          </cell>
          <cell r="BE52">
            <v>1</v>
          </cell>
          <cell r="BG52" t="str">
            <v>1110</v>
          </cell>
        </row>
        <row r="53">
          <cell r="B53" t="str">
            <v>G012200206100200</v>
          </cell>
          <cell r="C53" t="str">
            <v>01.北海道</v>
          </cell>
          <cell r="D53" t="str">
            <v>220</v>
          </cell>
          <cell r="E53" t="str">
            <v>士別市</v>
          </cell>
          <cell r="F53" t="str">
            <v>02</v>
          </cell>
          <cell r="G53" t="str">
            <v>特環 単独</v>
          </cell>
          <cell r="H53" t="str">
            <v>特定環境保全公共下水道</v>
          </cell>
          <cell r="I53" t="str">
            <v>単独</v>
          </cell>
          <cell r="J53" t="str">
            <v>002</v>
          </cell>
          <cell r="K53" t="str">
            <v>朝日浄化センター</v>
          </cell>
          <cell r="M53" t="str">
            <v>1</v>
          </cell>
          <cell r="N53" t="str">
            <v>1</v>
          </cell>
          <cell r="Q53">
            <v>36586</v>
          </cell>
          <cell r="R53" t="str">
            <v>平成</v>
          </cell>
          <cell r="S53">
            <v>12</v>
          </cell>
          <cell r="T53">
            <v>3</v>
          </cell>
          <cell r="AB53">
            <v>6000</v>
          </cell>
          <cell r="AC53" t="str">
            <v>天塩川中流</v>
          </cell>
          <cell r="AD53" t="str">
            <v>Ａ</v>
          </cell>
          <cell r="AE53" t="str">
            <v>イ</v>
          </cell>
          <cell r="AF53">
            <v>15</v>
          </cell>
          <cell r="AI53" t="str">
            <v>無名川</v>
          </cell>
          <cell r="AK53" t="str">
            <v>天塩川</v>
          </cell>
          <cell r="AN53">
            <v>20</v>
          </cell>
          <cell r="AO53" t="str">
            <v>士別市</v>
          </cell>
          <cell r="AQ53" t="str">
            <v/>
          </cell>
          <cell r="AR53" t="str">
            <v>オキシディションディッチ法</v>
          </cell>
          <cell r="AS53" t="str">
            <v>0122002002</v>
          </cell>
          <cell r="AT53" t="str">
            <v/>
          </cell>
          <cell r="AU53" t="str">
            <v>10</v>
          </cell>
          <cell r="AV53" t="str">
            <v>10</v>
          </cell>
          <cell r="AW53">
            <v>0</v>
          </cell>
          <cell r="AX53">
            <v>0</v>
          </cell>
          <cell r="AY53">
            <v>0</v>
          </cell>
          <cell r="AZ53">
            <v>0</v>
          </cell>
          <cell r="BA53">
            <v>0</v>
          </cell>
          <cell r="BD53" t="str">
            <v/>
          </cell>
          <cell r="BE53">
            <v>1</v>
          </cell>
          <cell r="BG53" t="str">
            <v>1100</v>
          </cell>
        </row>
        <row r="54">
          <cell r="B54" t="str">
            <v>G012210106100100</v>
          </cell>
          <cell r="C54" t="str">
            <v>01.北海道</v>
          </cell>
          <cell r="D54" t="str">
            <v>221</v>
          </cell>
          <cell r="E54" t="str">
            <v>名寄市</v>
          </cell>
          <cell r="F54" t="str">
            <v>01</v>
          </cell>
          <cell r="G54" t="str">
            <v>公共 単独</v>
          </cell>
          <cell r="H54" t="str">
            <v>公共下水道</v>
          </cell>
          <cell r="I54" t="str">
            <v>単独</v>
          </cell>
          <cell r="J54" t="str">
            <v>001</v>
          </cell>
          <cell r="K54" t="str">
            <v>名寄下水終末処理場</v>
          </cell>
          <cell r="M54" t="str">
            <v>1</v>
          </cell>
          <cell r="N54" t="str">
            <v>1</v>
          </cell>
          <cell r="Q54">
            <v>29281</v>
          </cell>
          <cell r="R54" t="str">
            <v>昭和</v>
          </cell>
          <cell r="S54">
            <v>55</v>
          </cell>
          <cell r="T54">
            <v>3</v>
          </cell>
          <cell r="AB54">
            <v>70279</v>
          </cell>
          <cell r="AC54" t="str">
            <v>設定なし</v>
          </cell>
          <cell r="AF54">
            <v>15</v>
          </cell>
          <cell r="AK54" t="str">
            <v>豊栄川</v>
          </cell>
          <cell r="AQ54" t="str">
            <v/>
          </cell>
          <cell r="AR54" t="str">
            <v>標準活性汚泥法</v>
          </cell>
          <cell r="AS54" t="str">
            <v>0122101001</v>
          </cell>
          <cell r="AT54" t="str">
            <v/>
          </cell>
          <cell r="AU54" t="str">
            <v>10</v>
          </cell>
          <cell r="AV54" t="str">
            <v>10</v>
          </cell>
          <cell r="AW54">
            <v>0</v>
          </cell>
          <cell r="AX54">
            <v>0</v>
          </cell>
          <cell r="AY54">
            <v>0</v>
          </cell>
          <cell r="AZ54">
            <v>0</v>
          </cell>
          <cell r="BA54">
            <v>0</v>
          </cell>
          <cell r="BD54" t="str">
            <v/>
          </cell>
          <cell r="BE54">
            <v>1</v>
          </cell>
          <cell r="BG54" t="str">
            <v>1100</v>
          </cell>
        </row>
        <row r="55">
          <cell r="B55" t="str">
            <v>G012210106100200</v>
          </cell>
          <cell r="C55" t="str">
            <v>01.北海道</v>
          </cell>
          <cell r="D55" t="str">
            <v>221</v>
          </cell>
          <cell r="E55" t="str">
            <v>名寄市</v>
          </cell>
          <cell r="F55" t="str">
            <v>01</v>
          </cell>
          <cell r="G55" t="str">
            <v>公共 単独</v>
          </cell>
          <cell r="H55" t="str">
            <v>公共下水道</v>
          </cell>
          <cell r="I55" t="str">
            <v>単独</v>
          </cell>
          <cell r="J55" t="str">
            <v>002</v>
          </cell>
          <cell r="K55" t="str">
            <v>風連浄水管理センター</v>
          </cell>
          <cell r="M55" t="str">
            <v>1</v>
          </cell>
          <cell r="N55" t="str">
            <v>1</v>
          </cell>
          <cell r="Q55">
            <v>35643</v>
          </cell>
          <cell r="R55" t="str">
            <v>平成</v>
          </cell>
          <cell r="S55">
            <v>9</v>
          </cell>
          <cell r="T55">
            <v>8</v>
          </cell>
          <cell r="AB55">
            <v>10131</v>
          </cell>
          <cell r="AC55" t="str">
            <v>設定なし</v>
          </cell>
          <cell r="AF55">
            <v>15</v>
          </cell>
          <cell r="AK55" t="str">
            <v>タヨロマ川</v>
          </cell>
          <cell r="AQ55" t="str">
            <v/>
          </cell>
          <cell r="AR55" t="str">
            <v>オキシディションディッチ法</v>
          </cell>
          <cell r="AS55" t="str">
            <v>0122101002</v>
          </cell>
          <cell r="AT55" t="str">
            <v/>
          </cell>
          <cell r="AU55" t="str">
            <v>10</v>
          </cell>
          <cell r="AV55" t="str">
            <v>10</v>
          </cell>
          <cell r="AW55">
            <v>0</v>
          </cell>
          <cell r="AX55">
            <v>0</v>
          </cell>
          <cell r="AY55">
            <v>0</v>
          </cell>
          <cell r="AZ55">
            <v>0</v>
          </cell>
          <cell r="BA55">
            <v>0</v>
          </cell>
          <cell r="BD55" t="str">
            <v/>
          </cell>
          <cell r="BE55">
            <v>1</v>
          </cell>
          <cell r="BG55" t="str">
            <v>1100</v>
          </cell>
        </row>
        <row r="56">
          <cell r="B56" t="str">
            <v>G012220106100100</v>
          </cell>
          <cell r="C56" t="str">
            <v>01.北海道</v>
          </cell>
          <cell r="D56" t="str">
            <v>222</v>
          </cell>
          <cell r="E56" t="str">
            <v>三笠市</v>
          </cell>
          <cell r="F56" t="str">
            <v>01</v>
          </cell>
          <cell r="G56" t="str">
            <v>公共 単独</v>
          </cell>
          <cell r="H56" t="str">
            <v>公共下水道</v>
          </cell>
          <cell r="I56" t="str">
            <v>単独</v>
          </cell>
          <cell r="J56" t="str">
            <v>001</v>
          </cell>
          <cell r="K56" t="str">
            <v>三笠浄化センター</v>
          </cell>
          <cell r="M56" t="str">
            <v>1</v>
          </cell>
          <cell r="N56" t="str">
            <v>1</v>
          </cell>
          <cell r="Q56">
            <v>34394</v>
          </cell>
          <cell r="R56" t="str">
            <v>平成</v>
          </cell>
          <cell r="S56">
            <v>6</v>
          </cell>
          <cell r="T56">
            <v>3</v>
          </cell>
          <cell r="AB56">
            <v>38564</v>
          </cell>
          <cell r="AC56" t="str">
            <v>幾春別川</v>
          </cell>
          <cell r="AD56" t="str">
            <v>Ｂ</v>
          </cell>
          <cell r="AE56" t="str">
            <v>イ</v>
          </cell>
          <cell r="AF56">
            <v>15</v>
          </cell>
          <cell r="AI56" t="str">
            <v>川内苗圃の沢川</v>
          </cell>
          <cell r="AK56" t="str">
            <v>幾春別川</v>
          </cell>
          <cell r="AL56" t="str">
            <v>桂沢ダム</v>
          </cell>
          <cell r="AM56">
            <v>13</v>
          </cell>
          <cell r="AO56" t="str">
            <v>三笠市、岩見沢市、美唄市</v>
          </cell>
          <cell r="AQ56" t="str">
            <v/>
          </cell>
          <cell r="AR56" t="str">
            <v>長時間エアレーション法</v>
          </cell>
          <cell r="AS56" t="str">
            <v>0122201001</v>
          </cell>
          <cell r="AT56" t="str">
            <v/>
          </cell>
          <cell r="AU56" t="str">
            <v>10</v>
          </cell>
          <cell r="AV56" t="str">
            <v>10</v>
          </cell>
          <cell r="AW56">
            <v>0</v>
          </cell>
          <cell r="AX56">
            <v>0</v>
          </cell>
          <cell r="AY56">
            <v>0</v>
          </cell>
          <cell r="AZ56">
            <v>0</v>
          </cell>
          <cell r="BA56">
            <v>0</v>
          </cell>
          <cell r="BD56" t="str">
            <v/>
          </cell>
          <cell r="BE56">
            <v>1</v>
          </cell>
          <cell r="BG56" t="str">
            <v>1100</v>
          </cell>
        </row>
        <row r="57">
          <cell r="B57" t="str">
            <v>G012230106100100</v>
          </cell>
          <cell r="C57" t="str">
            <v>01.北海道</v>
          </cell>
          <cell r="D57" t="str">
            <v>223</v>
          </cell>
          <cell r="E57" t="str">
            <v>根室市</v>
          </cell>
          <cell r="F57" t="str">
            <v>01</v>
          </cell>
          <cell r="G57" t="str">
            <v>公共 単独</v>
          </cell>
          <cell r="H57" t="str">
            <v>公共下水道</v>
          </cell>
          <cell r="I57" t="str">
            <v>単独</v>
          </cell>
          <cell r="J57" t="str">
            <v>001</v>
          </cell>
          <cell r="K57" t="str">
            <v>根室下水終末処理場</v>
          </cell>
          <cell r="M57" t="str">
            <v>1</v>
          </cell>
          <cell r="N57" t="str">
            <v>1</v>
          </cell>
          <cell r="Q57">
            <v>31287</v>
          </cell>
          <cell r="R57" t="str">
            <v>昭和</v>
          </cell>
          <cell r="S57">
            <v>60</v>
          </cell>
          <cell r="T57">
            <v>8</v>
          </cell>
          <cell r="AB57">
            <v>63645</v>
          </cell>
          <cell r="AC57" t="str">
            <v>根室海域</v>
          </cell>
          <cell r="AD57" t="str">
            <v>Ａ</v>
          </cell>
          <cell r="AE57" t="str">
            <v>イ</v>
          </cell>
          <cell r="AF57">
            <v>15</v>
          </cell>
          <cell r="AI57" t="str">
            <v>ハッタリ川</v>
          </cell>
          <cell r="AQ57" t="str">
            <v/>
          </cell>
          <cell r="AR57" t="str">
            <v>標準活性汚泥法</v>
          </cell>
          <cell r="AS57" t="str">
            <v>0122301001</v>
          </cell>
          <cell r="AT57" t="str">
            <v/>
          </cell>
          <cell r="AU57" t="str">
            <v>10</v>
          </cell>
          <cell r="AV57" t="str">
            <v>10</v>
          </cell>
          <cell r="AW57">
            <v>0</v>
          </cell>
          <cell r="AX57">
            <v>0</v>
          </cell>
          <cell r="AY57">
            <v>0</v>
          </cell>
          <cell r="AZ57">
            <v>0</v>
          </cell>
          <cell r="BA57">
            <v>0</v>
          </cell>
          <cell r="BD57" t="str">
            <v/>
          </cell>
          <cell r="BE57">
            <v>1</v>
          </cell>
          <cell r="BG57" t="str">
            <v>1100</v>
          </cell>
        </row>
        <row r="58">
          <cell r="B58" t="str">
            <v>G012240106100100</v>
          </cell>
          <cell r="C58" t="str">
            <v>01.北海道</v>
          </cell>
          <cell r="D58" t="str">
            <v>224</v>
          </cell>
          <cell r="E58" t="str">
            <v>千歳市</v>
          </cell>
          <cell r="F58" t="str">
            <v>01</v>
          </cell>
          <cell r="G58" t="str">
            <v>公共 単独</v>
          </cell>
          <cell r="H58" t="str">
            <v>公共下水道</v>
          </cell>
          <cell r="I58" t="str">
            <v>単独</v>
          </cell>
          <cell r="J58" t="str">
            <v>001</v>
          </cell>
          <cell r="K58" t="str">
            <v>千歳市浄化センター</v>
          </cell>
          <cell r="M58" t="str">
            <v>1</v>
          </cell>
          <cell r="Q58">
            <v>27881</v>
          </cell>
          <cell r="R58" t="str">
            <v>昭和</v>
          </cell>
          <cell r="S58">
            <v>51</v>
          </cell>
          <cell r="T58">
            <v>5</v>
          </cell>
          <cell r="U58" t="str">
            <v>名称変更</v>
          </cell>
          <cell r="V58">
            <v>36617</v>
          </cell>
          <cell r="W58" t="str">
            <v>平成</v>
          </cell>
          <cell r="X58">
            <v>12</v>
          </cell>
          <cell r="Y58">
            <v>4</v>
          </cell>
          <cell r="Z58" t="str">
            <v>千歳下水終末処理場</v>
          </cell>
          <cell r="AB58">
            <v>53200</v>
          </cell>
          <cell r="AC58" t="str">
            <v>千歳川下流</v>
          </cell>
          <cell r="AD58" t="str">
            <v>Ａ</v>
          </cell>
          <cell r="AE58" t="str">
            <v>イ</v>
          </cell>
          <cell r="AF58">
            <v>15</v>
          </cell>
          <cell r="AK58" t="str">
            <v>千歳川</v>
          </cell>
          <cell r="AN58">
            <v>38.5</v>
          </cell>
          <cell r="AO58" t="str">
            <v>江別市</v>
          </cell>
          <cell r="AQ58" t="str">
            <v/>
          </cell>
          <cell r="AR58" t="str">
            <v>標準活性汚泥法</v>
          </cell>
          <cell r="AS58" t="str">
            <v>0122401001</v>
          </cell>
          <cell r="AT58" t="str">
            <v/>
          </cell>
          <cell r="AU58" t="str">
            <v>00</v>
          </cell>
          <cell r="AV58" t="str">
            <v>00</v>
          </cell>
          <cell r="AW58">
            <v>0</v>
          </cell>
          <cell r="AX58">
            <v>0</v>
          </cell>
          <cell r="AY58">
            <v>0</v>
          </cell>
          <cell r="AZ58">
            <v>0</v>
          </cell>
          <cell r="BA58">
            <v>0</v>
          </cell>
          <cell r="BD58" t="str">
            <v/>
          </cell>
          <cell r="BE58">
            <v>1</v>
          </cell>
          <cell r="BG58" t="str">
            <v>1000</v>
          </cell>
        </row>
        <row r="59">
          <cell r="B59" t="str">
            <v>G012240106100200</v>
          </cell>
          <cell r="C59" t="str">
            <v>01.北海道</v>
          </cell>
          <cell r="D59" t="str">
            <v>224</v>
          </cell>
          <cell r="E59" t="str">
            <v>千歳市</v>
          </cell>
          <cell r="F59" t="str">
            <v>01</v>
          </cell>
          <cell r="G59" t="str">
            <v>公共 単独</v>
          </cell>
          <cell r="H59" t="str">
            <v>公共下水道</v>
          </cell>
          <cell r="I59" t="str">
            <v>単独</v>
          </cell>
          <cell r="J59" t="str">
            <v>002</v>
          </cell>
          <cell r="K59" t="str">
            <v>千歳市スラッジセンター</v>
          </cell>
          <cell r="N59" t="str">
            <v>1</v>
          </cell>
          <cell r="O59" t="str">
            <v>1</v>
          </cell>
          <cell r="Q59">
            <v>37712</v>
          </cell>
          <cell r="R59" t="str">
            <v>平成</v>
          </cell>
          <cell r="S59">
            <v>15</v>
          </cell>
          <cell r="T59">
            <v>4</v>
          </cell>
          <cell r="AB59">
            <v>19840</v>
          </cell>
          <cell r="AC59" t="str">
            <v>該当しない</v>
          </cell>
          <cell r="AI59" t="str">
            <v>該当しない</v>
          </cell>
          <cell r="AQ59" t="str">
            <v/>
          </cell>
          <cell r="AR59" t="str">
            <v/>
          </cell>
          <cell r="AS59" t="str">
            <v>0122401002</v>
          </cell>
          <cell r="AT59" t="str">
            <v/>
          </cell>
          <cell r="AU59" t="str">
            <v>11</v>
          </cell>
          <cell r="AV59" t="str">
            <v>11</v>
          </cell>
          <cell r="AW59">
            <v>0</v>
          </cell>
          <cell r="AX59">
            <v>0</v>
          </cell>
          <cell r="AY59">
            <v>0</v>
          </cell>
          <cell r="AZ59">
            <v>0</v>
          </cell>
          <cell r="BA59">
            <v>0</v>
          </cell>
          <cell r="BD59" t="str">
            <v/>
          </cell>
          <cell r="BE59">
            <v>1</v>
          </cell>
          <cell r="BG59" t="str">
            <v>0110</v>
          </cell>
        </row>
        <row r="60">
          <cell r="B60" t="str">
            <v>G012240206100300</v>
          </cell>
          <cell r="C60" t="str">
            <v>01.北海道</v>
          </cell>
          <cell r="D60" t="str">
            <v>224</v>
          </cell>
          <cell r="E60" t="str">
            <v>千歳市</v>
          </cell>
          <cell r="F60" t="str">
            <v>02</v>
          </cell>
          <cell r="G60" t="str">
            <v>特環 単独</v>
          </cell>
          <cell r="H60" t="str">
            <v>特定環境保全公共下水道</v>
          </cell>
          <cell r="I60" t="str">
            <v>単独</v>
          </cell>
          <cell r="J60" t="str">
            <v>003</v>
          </cell>
          <cell r="K60" t="str">
            <v>支笏湖畔下水終末処理場</v>
          </cell>
          <cell r="M60" t="str">
            <v>1</v>
          </cell>
          <cell r="N60" t="str">
            <v>1</v>
          </cell>
          <cell r="Q60">
            <v>30529</v>
          </cell>
          <cell r="R60" t="str">
            <v>昭和</v>
          </cell>
          <cell r="S60">
            <v>58</v>
          </cell>
          <cell r="T60">
            <v>8</v>
          </cell>
          <cell r="AB60">
            <v>4500</v>
          </cell>
          <cell r="AC60" t="str">
            <v>千歳川</v>
          </cell>
          <cell r="AD60" t="str">
            <v>ＡＡ</v>
          </cell>
          <cell r="AE60" t="str">
            <v>イ</v>
          </cell>
          <cell r="AF60">
            <v>15</v>
          </cell>
          <cell r="AK60" t="str">
            <v>千歳川</v>
          </cell>
          <cell r="AN60">
            <v>19.2</v>
          </cell>
          <cell r="AO60" t="str">
            <v>千歳市</v>
          </cell>
          <cell r="AQ60" t="str">
            <v/>
          </cell>
          <cell r="AR60" t="str">
            <v>標準活性汚泥法</v>
          </cell>
          <cell r="AS60" t="str">
            <v>0122402003</v>
          </cell>
          <cell r="AT60" t="str">
            <v/>
          </cell>
          <cell r="AU60" t="str">
            <v>10</v>
          </cell>
          <cell r="AV60" t="str">
            <v>10</v>
          </cell>
          <cell r="AW60">
            <v>0</v>
          </cell>
          <cell r="AX60">
            <v>0</v>
          </cell>
          <cell r="AY60">
            <v>0</v>
          </cell>
          <cell r="AZ60">
            <v>0</v>
          </cell>
          <cell r="BA60">
            <v>0</v>
          </cell>
          <cell r="BD60" t="str">
            <v/>
          </cell>
          <cell r="BE60">
            <v>1</v>
          </cell>
          <cell r="BG60" t="str">
            <v>1100</v>
          </cell>
        </row>
        <row r="61">
          <cell r="B61" t="str">
            <v>G012280106100100</v>
          </cell>
          <cell r="C61" t="str">
            <v>01.北海道</v>
          </cell>
          <cell r="D61" t="str">
            <v>228</v>
          </cell>
          <cell r="E61" t="str">
            <v>深川市</v>
          </cell>
          <cell r="F61" t="str">
            <v>01</v>
          </cell>
          <cell r="G61" t="str">
            <v>公共 単独</v>
          </cell>
          <cell r="H61" t="str">
            <v>公共下水道</v>
          </cell>
          <cell r="I61" t="str">
            <v>単独</v>
          </cell>
          <cell r="J61" t="str">
            <v>001</v>
          </cell>
          <cell r="K61" t="str">
            <v>深川浄化センター</v>
          </cell>
          <cell r="M61" t="str">
            <v>1</v>
          </cell>
          <cell r="N61" t="str">
            <v>1</v>
          </cell>
          <cell r="P61" t="str">
            <v>1</v>
          </cell>
          <cell r="Q61">
            <v>29037</v>
          </cell>
          <cell r="R61" t="str">
            <v>昭和</v>
          </cell>
          <cell r="S61">
            <v>54</v>
          </cell>
          <cell r="T61">
            <v>7</v>
          </cell>
          <cell r="AB61">
            <v>14992</v>
          </cell>
          <cell r="AC61" t="str">
            <v>石狩川上流（４）</v>
          </cell>
          <cell r="AD61" t="str">
            <v>Ｂ</v>
          </cell>
          <cell r="AE61" t="str">
            <v>ロ</v>
          </cell>
          <cell r="AF61">
            <v>15</v>
          </cell>
          <cell r="AK61" t="str">
            <v>石狩川</v>
          </cell>
          <cell r="AQ61" t="str">
            <v/>
          </cell>
          <cell r="AR61" t="str">
            <v>標準活性汚泥法</v>
          </cell>
          <cell r="AS61" t="str">
            <v>0122801001</v>
          </cell>
          <cell r="AT61" t="str">
            <v/>
          </cell>
          <cell r="AU61" t="str">
            <v>10</v>
          </cell>
          <cell r="AV61" t="str">
            <v>10</v>
          </cell>
          <cell r="AW61">
            <v>1</v>
          </cell>
          <cell r="AX61">
            <v>0</v>
          </cell>
          <cell r="AY61">
            <v>0</v>
          </cell>
          <cell r="AZ61">
            <v>0</v>
          </cell>
          <cell r="BA61">
            <v>0</v>
          </cell>
          <cell r="BD61" t="str">
            <v/>
          </cell>
          <cell r="BE61">
            <v>1</v>
          </cell>
          <cell r="BG61" t="str">
            <v>1101</v>
          </cell>
        </row>
        <row r="62">
          <cell r="B62" t="str">
            <v>G012280106100200</v>
          </cell>
          <cell r="C62" t="str">
            <v>01.北海道</v>
          </cell>
          <cell r="D62" t="str">
            <v>228</v>
          </cell>
          <cell r="E62" t="str">
            <v>深川市</v>
          </cell>
          <cell r="F62" t="str">
            <v>01</v>
          </cell>
          <cell r="G62" t="str">
            <v>公共 単独</v>
          </cell>
          <cell r="H62" t="str">
            <v>公共下水道</v>
          </cell>
          <cell r="I62" t="str">
            <v>単独</v>
          </cell>
          <cell r="J62" t="str">
            <v>002</v>
          </cell>
          <cell r="K62" t="str">
            <v>音江浄化センター</v>
          </cell>
          <cell r="M62" t="str">
            <v>1</v>
          </cell>
          <cell r="N62" t="str">
            <v>1</v>
          </cell>
          <cell r="Q62">
            <v>36465</v>
          </cell>
          <cell r="R62" t="str">
            <v>平成</v>
          </cell>
          <cell r="S62">
            <v>11</v>
          </cell>
          <cell r="T62">
            <v>11</v>
          </cell>
          <cell r="AB62">
            <v>14199</v>
          </cell>
          <cell r="AC62" t="str">
            <v>石狩川上流（４）</v>
          </cell>
          <cell r="AD62" t="str">
            <v>Ｂ</v>
          </cell>
          <cell r="AE62" t="str">
            <v>ロ</v>
          </cell>
          <cell r="AF62">
            <v>15</v>
          </cell>
          <cell r="AK62" t="str">
            <v>石狩川</v>
          </cell>
          <cell r="AQ62" t="str">
            <v/>
          </cell>
          <cell r="AR62" t="str">
            <v>オキシディションディッチ法</v>
          </cell>
          <cell r="AS62" t="str">
            <v>0122801002</v>
          </cell>
          <cell r="AT62" t="str">
            <v/>
          </cell>
          <cell r="AU62" t="str">
            <v>10</v>
          </cell>
          <cell r="AV62" t="str">
            <v>10</v>
          </cell>
          <cell r="AW62">
            <v>0</v>
          </cell>
          <cell r="AX62">
            <v>0</v>
          </cell>
          <cell r="AY62">
            <v>0</v>
          </cell>
          <cell r="AZ62">
            <v>0</v>
          </cell>
          <cell r="BA62">
            <v>0</v>
          </cell>
          <cell r="BD62" t="str">
            <v/>
          </cell>
          <cell r="BE62">
            <v>1</v>
          </cell>
          <cell r="BG62" t="str">
            <v>1100</v>
          </cell>
        </row>
        <row r="63">
          <cell r="B63" t="str">
            <v>G012290106100100</v>
          </cell>
          <cell r="C63" t="str">
            <v>01.北海道</v>
          </cell>
          <cell r="D63" t="str">
            <v>229</v>
          </cell>
          <cell r="E63" t="str">
            <v>富良野市</v>
          </cell>
          <cell r="F63" t="str">
            <v>01</v>
          </cell>
          <cell r="G63" t="str">
            <v>公共 単独</v>
          </cell>
          <cell r="H63" t="str">
            <v>公共下水道</v>
          </cell>
          <cell r="I63" t="str">
            <v>単独</v>
          </cell>
          <cell r="J63" t="str">
            <v>001</v>
          </cell>
          <cell r="K63" t="str">
            <v>富良野水処理センター</v>
          </cell>
          <cell r="M63" t="str">
            <v>1</v>
          </cell>
          <cell r="N63" t="str">
            <v>1</v>
          </cell>
          <cell r="O63" t="str">
            <v>1</v>
          </cell>
          <cell r="Q63">
            <v>33055</v>
          </cell>
          <cell r="R63" t="str">
            <v>平成</v>
          </cell>
          <cell r="S63">
            <v>2</v>
          </cell>
          <cell r="T63">
            <v>7</v>
          </cell>
          <cell r="AB63">
            <v>27397</v>
          </cell>
          <cell r="AC63" t="str">
            <v>空知川</v>
          </cell>
          <cell r="AD63" t="str">
            <v>Ａ</v>
          </cell>
          <cell r="AE63" t="str">
            <v>イ</v>
          </cell>
          <cell r="AF63">
            <v>15</v>
          </cell>
          <cell r="AK63" t="str">
            <v>空知川</v>
          </cell>
          <cell r="AO63" t="str">
            <v>芦別市</v>
          </cell>
          <cell r="AQ63" t="str">
            <v/>
          </cell>
          <cell r="AR63" t="str">
            <v>オキシディションディッチ法</v>
          </cell>
          <cell r="AS63" t="str">
            <v>0122901001</v>
          </cell>
          <cell r="AT63" t="str">
            <v/>
          </cell>
          <cell r="AU63" t="str">
            <v>11</v>
          </cell>
          <cell r="AV63" t="str">
            <v>10</v>
          </cell>
          <cell r="AW63">
            <v>0</v>
          </cell>
          <cell r="AX63">
            <v>0</v>
          </cell>
          <cell r="AY63">
            <v>-1</v>
          </cell>
          <cell r="AZ63">
            <v>0</v>
          </cell>
          <cell r="BA63">
            <v>1</v>
          </cell>
          <cell r="BC63" t="str">
            <v>コンポスト休止</v>
          </cell>
          <cell r="BD63" t="str">
            <v>コンポスト休止</v>
          </cell>
          <cell r="BE63">
            <v>1</v>
          </cell>
          <cell r="BG63" t="str">
            <v>1110</v>
          </cell>
        </row>
        <row r="64">
          <cell r="B64" t="str">
            <v>G012290206100200</v>
          </cell>
          <cell r="C64" t="str">
            <v>01.北海道</v>
          </cell>
          <cell r="D64" t="str">
            <v>229</v>
          </cell>
          <cell r="E64" t="str">
            <v>富良野市</v>
          </cell>
          <cell r="F64" t="str">
            <v>02</v>
          </cell>
          <cell r="G64" t="str">
            <v>特環 単独</v>
          </cell>
          <cell r="H64" t="str">
            <v>特定環境保全公共下水道</v>
          </cell>
          <cell r="I64" t="str">
            <v>単独</v>
          </cell>
          <cell r="J64" t="str">
            <v>002</v>
          </cell>
          <cell r="K64" t="str">
            <v>山部水処理センター</v>
          </cell>
          <cell r="M64" t="str">
            <v>1</v>
          </cell>
          <cell r="N64" t="str">
            <v>1</v>
          </cell>
          <cell r="Q64">
            <v>37530</v>
          </cell>
          <cell r="R64" t="str">
            <v>平成</v>
          </cell>
          <cell r="S64">
            <v>14</v>
          </cell>
          <cell r="T64">
            <v>10</v>
          </cell>
          <cell r="AB64">
            <v>7544</v>
          </cell>
          <cell r="AC64" t="str">
            <v>空知川</v>
          </cell>
          <cell r="AD64" t="str">
            <v>Ａ</v>
          </cell>
          <cell r="AE64" t="str">
            <v>イ</v>
          </cell>
          <cell r="AF64">
            <v>15</v>
          </cell>
          <cell r="AK64" t="str">
            <v>空知川</v>
          </cell>
          <cell r="AO64" t="str">
            <v>芦別市</v>
          </cell>
          <cell r="AQ64" t="str">
            <v/>
          </cell>
          <cell r="AR64" t="str">
            <v>オキシディションディッチ法</v>
          </cell>
          <cell r="AS64" t="str">
            <v>0122902002</v>
          </cell>
          <cell r="AT64" t="str">
            <v/>
          </cell>
          <cell r="AU64" t="str">
            <v>10</v>
          </cell>
          <cell r="AV64" t="str">
            <v>10</v>
          </cell>
          <cell r="AW64">
            <v>0</v>
          </cell>
          <cell r="AX64">
            <v>0</v>
          </cell>
          <cell r="AY64">
            <v>0</v>
          </cell>
          <cell r="AZ64">
            <v>0</v>
          </cell>
          <cell r="BA64">
            <v>0</v>
          </cell>
          <cell r="BD64" t="str">
            <v/>
          </cell>
          <cell r="BE64">
            <v>1</v>
          </cell>
          <cell r="BG64" t="str">
            <v>1100</v>
          </cell>
        </row>
        <row r="65">
          <cell r="B65" t="str">
            <v>G012300106100100</v>
          </cell>
          <cell r="C65" t="str">
            <v>01.北海道</v>
          </cell>
          <cell r="D65" t="str">
            <v>230</v>
          </cell>
          <cell r="E65" t="str">
            <v>登別市</v>
          </cell>
          <cell r="F65" t="str">
            <v>01</v>
          </cell>
          <cell r="G65" t="str">
            <v>公共 単独</v>
          </cell>
          <cell r="H65" t="str">
            <v>公共下水道</v>
          </cell>
          <cell r="I65" t="str">
            <v>単独</v>
          </cell>
          <cell r="J65" t="str">
            <v>001</v>
          </cell>
          <cell r="K65" t="str">
            <v>若山浄化センター</v>
          </cell>
          <cell r="M65" t="str">
            <v>1</v>
          </cell>
          <cell r="N65" t="str">
            <v>1</v>
          </cell>
          <cell r="Q65">
            <v>33147</v>
          </cell>
          <cell r="R65" t="str">
            <v>平成</v>
          </cell>
          <cell r="S65">
            <v>2</v>
          </cell>
          <cell r="T65">
            <v>10</v>
          </cell>
          <cell r="AB65">
            <v>79700</v>
          </cell>
          <cell r="AC65" t="str">
            <v>設定なし</v>
          </cell>
          <cell r="AF65">
            <v>15</v>
          </cell>
          <cell r="AI65" t="str">
            <v>ヤンケシ川</v>
          </cell>
          <cell r="AQ65" t="str">
            <v/>
          </cell>
          <cell r="AR65" t="str">
            <v>オキシディションディッチ法</v>
          </cell>
          <cell r="AS65" t="str">
            <v>0123001001</v>
          </cell>
          <cell r="AT65" t="str">
            <v/>
          </cell>
          <cell r="AU65" t="str">
            <v>10</v>
          </cell>
          <cell r="AV65" t="str">
            <v>10</v>
          </cell>
          <cell r="AW65">
            <v>0</v>
          </cell>
          <cell r="AX65">
            <v>0</v>
          </cell>
          <cell r="AY65">
            <v>0</v>
          </cell>
          <cell r="AZ65">
            <v>0</v>
          </cell>
          <cell r="BA65">
            <v>0</v>
          </cell>
          <cell r="BD65" t="str">
            <v/>
          </cell>
          <cell r="BE65">
            <v>1</v>
          </cell>
          <cell r="BG65" t="str">
            <v>1100</v>
          </cell>
        </row>
        <row r="66">
          <cell r="B66" t="str">
            <v>G012310106100100</v>
          </cell>
          <cell r="C66" t="str">
            <v>01.北海道</v>
          </cell>
          <cell r="D66" t="str">
            <v>231</v>
          </cell>
          <cell r="E66" t="str">
            <v>恵庭市</v>
          </cell>
          <cell r="F66" t="str">
            <v>01</v>
          </cell>
          <cell r="G66" t="str">
            <v>公共 単独</v>
          </cell>
          <cell r="H66" t="str">
            <v>公共下水道</v>
          </cell>
          <cell r="I66" t="str">
            <v>単独</v>
          </cell>
          <cell r="J66" t="str">
            <v>001</v>
          </cell>
          <cell r="K66" t="str">
            <v>恵庭下水終末処理場</v>
          </cell>
          <cell r="M66" t="str">
            <v>1</v>
          </cell>
          <cell r="N66" t="str">
            <v>1</v>
          </cell>
          <cell r="O66" t="str">
            <v>1</v>
          </cell>
          <cell r="Q66">
            <v>29495</v>
          </cell>
          <cell r="R66" t="str">
            <v>昭和</v>
          </cell>
          <cell r="S66">
            <v>55</v>
          </cell>
          <cell r="T66">
            <v>10</v>
          </cell>
          <cell r="AB66">
            <v>51178</v>
          </cell>
          <cell r="AC66" t="str">
            <v>千歳川</v>
          </cell>
          <cell r="AD66" t="str">
            <v>Ａ</v>
          </cell>
          <cell r="AE66" t="str">
            <v>イ</v>
          </cell>
          <cell r="AF66">
            <v>15</v>
          </cell>
          <cell r="AK66" t="str">
            <v>漁川</v>
          </cell>
          <cell r="AM66">
            <v>12</v>
          </cell>
          <cell r="AO66" t="str">
            <v>恵庭市</v>
          </cell>
          <cell r="AQ66" t="str">
            <v/>
          </cell>
          <cell r="AR66" t="str">
            <v>標準活性汚泥法</v>
          </cell>
          <cell r="AS66" t="str">
            <v>0123101001</v>
          </cell>
          <cell r="AT66" t="str">
            <v/>
          </cell>
          <cell r="AU66" t="str">
            <v>11</v>
          </cell>
          <cell r="AV66" t="str">
            <v>11</v>
          </cell>
          <cell r="AW66">
            <v>0</v>
          </cell>
          <cell r="AX66">
            <v>0</v>
          </cell>
          <cell r="AY66">
            <v>0</v>
          </cell>
          <cell r="AZ66">
            <v>0</v>
          </cell>
          <cell r="BA66">
            <v>0</v>
          </cell>
          <cell r="BD66" t="str">
            <v/>
          </cell>
          <cell r="BE66">
            <v>1</v>
          </cell>
          <cell r="BG66" t="str">
            <v>1110</v>
          </cell>
        </row>
        <row r="67">
          <cell r="B67" t="str">
            <v>G012330106100100</v>
          </cell>
          <cell r="C67" t="str">
            <v>01.北海道</v>
          </cell>
          <cell r="D67" t="str">
            <v>233</v>
          </cell>
          <cell r="E67" t="str">
            <v>伊達市</v>
          </cell>
          <cell r="F67" t="str">
            <v>01</v>
          </cell>
          <cell r="G67" t="str">
            <v>公共 単独</v>
          </cell>
          <cell r="H67" t="str">
            <v>公共下水道</v>
          </cell>
          <cell r="I67" t="str">
            <v>単独</v>
          </cell>
          <cell r="J67" t="str">
            <v>001</v>
          </cell>
          <cell r="K67" t="str">
            <v>伊達終末処理場</v>
          </cell>
          <cell r="M67" t="str">
            <v>1</v>
          </cell>
          <cell r="N67" t="str">
            <v>1</v>
          </cell>
          <cell r="Q67">
            <v>31321</v>
          </cell>
          <cell r="R67" t="str">
            <v>昭和</v>
          </cell>
          <cell r="S67">
            <v>60</v>
          </cell>
          <cell r="T67">
            <v>10</v>
          </cell>
          <cell r="AB67">
            <v>42300</v>
          </cell>
          <cell r="AC67" t="str">
            <v>長流川下流</v>
          </cell>
          <cell r="AD67" t="str">
            <v>Ｂ</v>
          </cell>
          <cell r="AE67" t="str">
            <v>ロ</v>
          </cell>
          <cell r="AF67">
            <v>15</v>
          </cell>
          <cell r="AJ67" t="str">
            <v>長流川</v>
          </cell>
          <cell r="AP67" t="str">
            <v>特環公共関連含む</v>
          </cell>
          <cell r="AQ67" t="str">
            <v/>
          </cell>
          <cell r="AR67" t="str">
            <v>標準活性汚泥法</v>
          </cell>
          <cell r="AS67" t="str">
            <v>0123301001</v>
          </cell>
          <cell r="AT67" t="str">
            <v/>
          </cell>
          <cell r="AU67" t="str">
            <v>10</v>
          </cell>
          <cell r="AV67" t="str">
            <v>10</v>
          </cell>
          <cell r="AW67">
            <v>0</v>
          </cell>
          <cell r="AX67">
            <v>0</v>
          </cell>
          <cell r="AY67">
            <v>0</v>
          </cell>
          <cell r="AZ67">
            <v>0</v>
          </cell>
          <cell r="BA67">
            <v>0</v>
          </cell>
          <cell r="BD67" t="str">
            <v/>
          </cell>
          <cell r="BE67">
            <v>1</v>
          </cell>
          <cell r="BG67" t="str">
            <v>1100</v>
          </cell>
        </row>
        <row r="68">
          <cell r="B68" t="str">
            <v>G012330106100200</v>
          </cell>
          <cell r="C68" t="str">
            <v>01.北海道</v>
          </cell>
          <cell r="D68" t="str">
            <v>233</v>
          </cell>
          <cell r="E68" t="str">
            <v>伊達市</v>
          </cell>
          <cell r="F68" t="str">
            <v>01</v>
          </cell>
          <cell r="G68" t="str">
            <v>公共 単独</v>
          </cell>
          <cell r="H68" t="str">
            <v>公共下水道</v>
          </cell>
          <cell r="I68" t="str">
            <v>単独</v>
          </cell>
          <cell r="J68" t="str">
            <v>002</v>
          </cell>
          <cell r="K68" t="str">
            <v>有珠終末処理場</v>
          </cell>
          <cell r="M68" t="str">
            <v>1</v>
          </cell>
          <cell r="N68" t="str">
            <v>1</v>
          </cell>
          <cell r="Q68">
            <v>33664</v>
          </cell>
          <cell r="R68" t="str">
            <v>平成</v>
          </cell>
          <cell r="S68">
            <v>4</v>
          </cell>
          <cell r="T68">
            <v>3</v>
          </cell>
          <cell r="AB68">
            <v>1200</v>
          </cell>
          <cell r="AC68" t="str">
            <v>設定なし</v>
          </cell>
          <cell r="AF68">
            <v>15</v>
          </cell>
          <cell r="AI68" t="str">
            <v>内浦湾</v>
          </cell>
          <cell r="AP68" t="str">
            <v>特環公共関連含む</v>
          </cell>
          <cell r="AQ68" t="str">
            <v/>
          </cell>
          <cell r="AR68" t="str">
            <v>回分式活性汚泥法</v>
          </cell>
          <cell r="AS68" t="str">
            <v>0123301002</v>
          </cell>
          <cell r="AT68" t="str">
            <v/>
          </cell>
          <cell r="AU68" t="str">
            <v>10</v>
          </cell>
          <cell r="AV68" t="str">
            <v>10</v>
          </cell>
          <cell r="AW68">
            <v>0</v>
          </cell>
          <cell r="AX68">
            <v>0</v>
          </cell>
          <cell r="AY68">
            <v>0</v>
          </cell>
          <cell r="AZ68">
            <v>0</v>
          </cell>
          <cell r="BA68">
            <v>0</v>
          </cell>
          <cell r="BD68" t="str">
            <v/>
          </cell>
          <cell r="BE68">
            <v>1</v>
          </cell>
          <cell r="BG68" t="str">
            <v>1100</v>
          </cell>
        </row>
        <row r="69">
          <cell r="B69" t="str">
            <v>G012330206100300</v>
          </cell>
          <cell r="C69" t="str">
            <v>01.北海道</v>
          </cell>
          <cell r="D69" t="str">
            <v>233</v>
          </cell>
          <cell r="E69" t="str">
            <v>伊達市</v>
          </cell>
          <cell r="F69" t="str">
            <v>02</v>
          </cell>
          <cell r="G69" t="str">
            <v>特環 単独</v>
          </cell>
          <cell r="H69" t="str">
            <v>特定環境保全公共下水道</v>
          </cell>
          <cell r="I69" t="str">
            <v>単独</v>
          </cell>
          <cell r="J69" t="str">
            <v>003</v>
          </cell>
          <cell r="K69" t="str">
            <v>大滝下水道管理センター</v>
          </cell>
          <cell r="M69" t="str">
            <v>1</v>
          </cell>
          <cell r="N69" t="str">
            <v>1</v>
          </cell>
          <cell r="Q69">
            <v>35855</v>
          </cell>
          <cell r="R69" t="str">
            <v>平成</v>
          </cell>
          <cell r="S69">
            <v>10</v>
          </cell>
          <cell r="T69">
            <v>3</v>
          </cell>
          <cell r="AB69">
            <v>10000</v>
          </cell>
          <cell r="AC69" t="str">
            <v>長流川中流</v>
          </cell>
          <cell r="AD69" t="str">
            <v>Ａ</v>
          </cell>
          <cell r="AE69" t="str">
            <v>ロ</v>
          </cell>
          <cell r="AF69">
            <v>15</v>
          </cell>
          <cell r="AI69" t="str">
            <v>徳舜瞥川</v>
          </cell>
          <cell r="AJ69" t="str">
            <v>長流川</v>
          </cell>
          <cell r="AQ69" t="str">
            <v/>
          </cell>
          <cell r="AR69" t="str">
            <v>オキシディションディッチ法</v>
          </cell>
          <cell r="AS69" t="str">
            <v>0123302003</v>
          </cell>
          <cell r="AT69" t="str">
            <v/>
          </cell>
          <cell r="AU69" t="str">
            <v>10</v>
          </cell>
          <cell r="AV69" t="str">
            <v>10</v>
          </cell>
          <cell r="AW69">
            <v>0</v>
          </cell>
          <cell r="AX69">
            <v>0</v>
          </cell>
          <cell r="AY69">
            <v>0</v>
          </cell>
          <cell r="AZ69">
            <v>0</v>
          </cell>
          <cell r="BA69">
            <v>0</v>
          </cell>
          <cell r="BD69" t="str">
            <v/>
          </cell>
          <cell r="BE69">
            <v>1</v>
          </cell>
          <cell r="BG69" t="str">
            <v>1100</v>
          </cell>
        </row>
        <row r="70">
          <cell r="B70" t="str">
            <v>G012340106100100</v>
          </cell>
          <cell r="C70" t="str">
            <v>01.北海道</v>
          </cell>
          <cell r="D70" t="str">
            <v>234</v>
          </cell>
          <cell r="E70" t="str">
            <v>北広島市</v>
          </cell>
          <cell r="F70" t="str">
            <v>01</v>
          </cell>
          <cell r="G70" t="str">
            <v>公共 単独</v>
          </cell>
          <cell r="H70" t="str">
            <v>公共下水道</v>
          </cell>
          <cell r="I70" t="str">
            <v>単独</v>
          </cell>
          <cell r="J70" t="str">
            <v>001</v>
          </cell>
          <cell r="K70" t="str">
            <v>北広島下水処理センター</v>
          </cell>
          <cell r="M70" t="str">
            <v>1</v>
          </cell>
          <cell r="N70" t="str">
            <v>1</v>
          </cell>
          <cell r="O70" t="str">
            <v>1</v>
          </cell>
          <cell r="Q70">
            <v>26330</v>
          </cell>
          <cell r="R70" t="str">
            <v>昭和</v>
          </cell>
          <cell r="S70">
            <v>47</v>
          </cell>
          <cell r="T70">
            <v>2</v>
          </cell>
          <cell r="AB70">
            <v>67900</v>
          </cell>
          <cell r="AC70" t="str">
            <v>千歳川下流</v>
          </cell>
          <cell r="AD70" t="str">
            <v>Ａ</v>
          </cell>
          <cell r="AE70" t="str">
            <v>イ</v>
          </cell>
          <cell r="AF70">
            <v>15</v>
          </cell>
          <cell r="AK70" t="str">
            <v>島松川</v>
          </cell>
          <cell r="AL70" t="str">
            <v>上江別</v>
          </cell>
          <cell r="AN70">
            <v>12</v>
          </cell>
          <cell r="AO70" t="str">
            <v>江別市</v>
          </cell>
          <cell r="AQ70" t="str">
            <v/>
          </cell>
          <cell r="AR70" t="str">
            <v>標準活性汚泥法</v>
          </cell>
          <cell r="AS70" t="str">
            <v>0123401001</v>
          </cell>
          <cell r="AT70" t="str">
            <v/>
          </cell>
          <cell r="AU70" t="str">
            <v>11</v>
          </cell>
          <cell r="AV70" t="str">
            <v>11</v>
          </cell>
          <cell r="AW70">
            <v>0</v>
          </cell>
          <cell r="AX70">
            <v>0</v>
          </cell>
          <cell r="AY70">
            <v>0</v>
          </cell>
          <cell r="AZ70">
            <v>0</v>
          </cell>
          <cell r="BA70">
            <v>0</v>
          </cell>
          <cell r="BD70" t="str">
            <v/>
          </cell>
          <cell r="BE70">
            <v>1</v>
          </cell>
          <cell r="BG70" t="str">
            <v>1110</v>
          </cell>
        </row>
        <row r="71">
          <cell r="B71" t="str">
            <v>G012350106100100</v>
          </cell>
          <cell r="C71" t="str">
            <v>01.北海道</v>
          </cell>
          <cell r="D71" t="str">
            <v>235</v>
          </cell>
          <cell r="E71" t="str">
            <v>石狩市</v>
          </cell>
          <cell r="F71" t="str">
            <v>01</v>
          </cell>
          <cell r="G71" t="str">
            <v>公共 単独</v>
          </cell>
          <cell r="H71" t="str">
            <v>公共下水道</v>
          </cell>
          <cell r="I71" t="str">
            <v>単独</v>
          </cell>
          <cell r="J71" t="str">
            <v>001</v>
          </cell>
          <cell r="K71" t="str">
            <v>八幡処理場</v>
          </cell>
          <cell r="M71" t="str">
            <v>1</v>
          </cell>
          <cell r="N71" t="str">
            <v>1</v>
          </cell>
          <cell r="Q71">
            <v>39508</v>
          </cell>
          <cell r="R71" t="str">
            <v>平成</v>
          </cell>
          <cell r="S71">
            <v>20</v>
          </cell>
          <cell r="T71">
            <v>3</v>
          </cell>
          <cell r="AB71">
            <v>8398</v>
          </cell>
          <cell r="AF71">
            <v>15</v>
          </cell>
          <cell r="AI71" t="str">
            <v>聚富川</v>
          </cell>
          <cell r="AQ71" t="str">
            <v/>
          </cell>
          <cell r="AR71" t="str">
            <v>オキシディションディッチ法</v>
          </cell>
          <cell r="AS71" t="str">
            <v>0123501001</v>
          </cell>
          <cell r="AT71" t="str">
            <v/>
          </cell>
          <cell r="AU71" t="str">
            <v>10</v>
          </cell>
          <cell r="AV71" t="str">
            <v>10</v>
          </cell>
          <cell r="AW71">
            <v>0</v>
          </cell>
          <cell r="AX71">
            <v>0</v>
          </cell>
          <cell r="AY71">
            <v>0</v>
          </cell>
          <cell r="AZ71">
            <v>0</v>
          </cell>
          <cell r="BA71">
            <v>0</v>
          </cell>
          <cell r="BD71" t="str">
            <v/>
          </cell>
          <cell r="BE71">
            <v>1</v>
          </cell>
          <cell r="BG71" t="str">
            <v>1100</v>
          </cell>
        </row>
        <row r="72">
          <cell r="B72" t="str">
            <v>G012350206100200</v>
          </cell>
          <cell r="C72" t="str">
            <v>01.北海道</v>
          </cell>
          <cell r="D72" t="str">
            <v>235</v>
          </cell>
          <cell r="E72" t="str">
            <v>石狩市</v>
          </cell>
          <cell r="F72" t="str">
            <v>02</v>
          </cell>
          <cell r="G72" t="str">
            <v>特環 単独</v>
          </cell>
          <cell r="H72" t="str">
            <v>特定環境保全公共下水道</v>
          </cell>
          <cell r="I72" t="str">
            <v>単独</v>
          </cell>
          <cell r="J72" t="str">
            <v>002</v>
          </cell>
          <cell r="K72" t="str">
            <v>厚田浄化センター</v>
          </cell>
          <cell r="M72" t="str">
            <v>1</v>
          </cell>
          <cell r="Q72">
            <v>37865</v>
          </cell>
          <cell r="R72" t="str">
            <v>平成</v>
          </cell>
          <cell r="S72">
            <v>15</v>
          </cell>
          <cell r="T72">
            <v>9</v>
          </cell>
          <cell r="AB72">
            <v>5305</v>
          </cell>
          <cell r="AF72">
            <v>15</v>
          </cell>
          <cell r="AJ72" t="str">
            <v>厚田川</v>
          </cell>
          <cell r="AQ72" t="str">
            <v/>
          </cell>
          <cell r="AR72" t="str">
            <v>嫌気好気ろ床法</v>
          </cell>
          <cell r="AS72" t="str">
            <v>0123502002</v>
          </cell>
          <cell r="AT72" t="str">
            <v/>
          </cell>
          <cell r="AU72" t="str">
            <v>00</v>
          </cell>
          <cell r="AV72" t="str">
            <v>00</v>
          </cell>
          <cell r="AW72">
            <v>0</v>
          </cell>
          <cell r="AX72">
            <v>0</v>
          </cell>
          <cell r="AY72">
            <v>0</v>
          </cell>
          <cell r="AZ72">
            <v>0</v>
          </cell>
          <cell r="BA72">
            <v>0</v>
          </cell>
          <cell r="BD72" t="str">
            <v/>
          </cell>
          <cell r="BE72">
            <v>1</v>
          </cell>
          <cell r="BG72" t="str">
            <v>1000</v>
          </cell>
        </row>
        <row r="73">
          <cell r="B73" t="str">
            <v>G012350206100300</v>
          </cell>
          <cell r="C73" t="str">
            <v>01.北海道</v>
          </cell>
          <cell r="D73" t="str">
            <v>235</v>
          </cell>
          <cell r="E73" t="str">
            <v>石狩市</v>
          </cell>
          <cell r="F73" t="str">
            <v>02</v>
          </cell>
          <cell r="G73" t="str">
            <v>特環 単独</v>
          </cell>
          <cell r="H73" t="str">
            <v>特定環境保全公共下水道</v>
          </cell>
          <cell r="I73" t="str">
            <v>単独</v>
          </cell>
          <cell r="J73" t="str">
            <v>003</v>
          </cell>
          <cell r="K73" t="str">
            <v>望来浄化センター</v>
          </cell>
          <cell r="M73" t="str">
            <v>1</v>
          </cell>
          <cell r="Q73">
            <v>38777</v>
          </cell>
          <cell r="R73" t="str">
            <v>平成</v>
          </cell>
          <cell r="S73">
            <v>18</v>
          </cell>
          <cell r="T73">
            <v>3</v>
          </cell>
          <cell r="AB73">
            <v>1983</v>
          </cell>
          <cell r="AF73">
            <v>15</v>
          </cell>
          <cell r="AI73" t="str">
            <v>無名川</v>
          </cell>
          <cell r="AQ73" t="str">
            <v/>
          </cell>
          <cell r="AR73" t="str">
            <v>嫌気好気ろ床法</v>
          </cell>
          <cell r="AS73" t="str">
            <v>0123502003</v>
          </cell>
          <cell r="AT73" t="str">
            <v/>
          </cell>
          <cell r="AU73" t="str">
            <v>00</v>
          </cell>
          <cell r="AV73" t="str">
            <v>00</v>
          </cell>
          <cell r="AW73">
            <v>0</v>
          </cell>
          <cell r="AX73">
            <v>0</v>
          </cell>
          <cell r="AY73">
            <v>0</v>
          </cell>
          <cell r="AZ73">
            <v>0</v>
          </cell>
          <cell r="BA73">
            <v>0</v>
          </cell>
          <cell r="BD73" t="str">
            <v/>
          </cell>
          <cell r="BE73">
            <v>1</v>
          </cell>
          <cell r="BG73" t="str">
            <v>1000</v>
          </cell>
        </row>
        <row r="74">
          <cell r="B74" t="str">
            <v>G013030106100100</v>
          </cell>
          <cell r="C74" t="str">
            <v>01.北海道</v>
          </cell>
          <cell r="D74" t="str">
            <v>303</v>
          </cell>
          <cell r="E74" t="str">
            <v>当別町</v>
          </cell>
          <cell r="F74" t="str">
            <v>01</v>
          </cell>
          <cell r="G74" t="str">
            <v>公共 単独</v>
          </cell>
          <cell r="H74" t="str">
            <v>公共下水道</v>
          </cell>
          <cell r="I74" t="str">
            <v>単独</v>
          </cell>
          <cell r="J74" t="str">
            <v>001</v>
          </cell>
          <cell r="K74" t="str">
            <v>当別下水終末処理場</v>
          </cell>
          <cell r="M74" t="str">
            <v>1</v>
          </cell>
          <cell r="N74" t="str">
            <v>1</v>
          </cell>
          <cell r="Q74">
            <v>31291</v>
          </cell>
          <cell r="R74" t="str">
            <v>昭和</v>
          </cell>
          <cell r="S74">
            <v>60</v>
          </cell>
          <cell r="T74">
            <v>9</v>
          </cell>
          <cell r="AB74">
            <v>24069</v>
          </cell>
          <cell r="AC74" t="str">
            <v>石狩川</v>
          </cell>
          <cell r="AD74" t="str">
            <v>Ａ</v>
          </cell>
          <cell r="AE74" t="str">
            <v>イ</v>
          </cell>
          <cell r="AF74">
            <v>15</v>
          </cell>
          <cell r="AI74" t="str">
            <v>石狩川</v>
          </cell>
          <cell r="AK74" t="str">
            <v>当別川</v>
          </cell>
          <cell r="AL74" t="str">
            <v>当別川取水口</v>
          </cell>
          <cell r="AM74">
            <v>2.2000000000000002</v>
          </cell>
          <cell r="AO74" t="str">
            <v>当別町</v>
          </cell>
          <cell r="AQ74" t="str">
            <v/>
          </cell>
          <cell r="AR74" t="str">
            <v>オキシディションディッチ法</v>
          </cell>
          <cell r="AS74" t="str">
            <v>0130301001</v>
          </cell>
          <cell r="AT74" t="str">
            <v/>
          </cell>
          <cell r="AU74" t="str">
            <v>10</v>
          </cell>
          <cell r="AV74" t="str">
            <v>10</v>
          </cell>
          <cell r="AW74">
            <v>0</v>
          </cell>
          <cell r="AX74">
            <v>0</v>
          </cell>
          <cell r="AY74">
            <v>0</v>
          </cell>
          <cell r="AZ74">
            <v>0</v>
          </cell>
          <cell r="BA74">
            <v>0</v>
          </cell>
          <cell r="BD74" t="str">
            <v/>
          </cell>
          <cell r="BE74">
            <v>1</v>
          </cell>
          <cell r="BG74" t="str">
            <v>1100</v>
          </cell>
        </row>
        <row r="75">
          <cell r="B75" t="str">
            <v>G013330206100100</v>
          </cell>
          <cell r="C75" t="str">
            <v>01.北海道</v>
          </cell>
          <cell r="D75" t="str">
            <v>333</v>
          </cell>
          <cell r="E75" t="str">
            <v>知内町</v>
          </cell>
          <cell r="F75" t="str">
            <v>02</v>
          </cell>
          <cell r="G75" t="str">
            <v>特環 単独</v>
          </cell>
          <cell r="H75" t="str">
            <v>特定環境保全公共下水道</v>
          </cell>
          <cell r="I75" t="str">
            <v>単独</v>
          </cell>
          <cell r="J75" t="str">
            <v>001</v>
          </cell>
          <cell r="K75" t="str">
            <v>知内町クリーンセンター</v>
          </cell>
          <cell r="M75" t="str">
            <v>1</v>
          </cell>
          <cell r="N75" t="str">
            <v>1</v>
          </cell>
          <cell r="Q75">
            <v>36951</v>
          </cell>
          <cell r="R75" t="str">
            <v>平成</v>
          </cell>
          <cell r="S75">
            <v>13</v>
          </cell>
          <cell r="T75">
            <v>3</v>
          </cell>
          <cell r="AB75">
            <v>10664</v>
          </cell>
          <cell r="AC75" t="str">
            <v>設定なし</v>
          </cell>
          <cell r="AF75">
            <v>15</v>
          </cell>
          <cell r="AI75" t="str">
            <v>新重内川</v>
          </cell>
          <cell r="AJ75" t="str">
            <v>重内川</v>
          </cell>
          <cell r="AQ75" t="str">
            <v/>
          </cell>
          <cell r="AR75" t="str">
            <v>オキシディションディッチ法</v>
          </cell>
          <cell r="AS75" t="str">
            <v>0133302001</v>
          </cell>
          <cell r="AT75" t="str">
            <v/>
          </cell>
          <cell r="AU75" t="str">
            <v>10</v>
          </cell>
          <cell r="AV75" t="str">
            <v>10</v>
          </cell>
          <cell r="AW75">
            <v>0</v>
          </cell>
          <cell r="AX75">
            <v>0</v>
          </cell>
          <cell r="AY75">
            <v>0</v>
          </cell>
          <cell r="AZ75">
            <v>0</v>
          </cell>
          <cell r="BA75">
            <v>0</v>
          </cell>
          <cell r="BD75" t="str">
            <v/>
          </cell>
          <cell r="BE75">
            <v>1</v>
          </cell>
          <cell r="BG75" t="str">
            <v>1100</v>
          </cell>
        </row>
        <row r="76">
          <cell r="B76" t="str">
            <v>G013340106100100</v>
          </cell>
          <cell r="C76" t="str">
            <v>01.北海道</v>
          </cell>
          <cell r="D76" t="str">
            <v>334</v>
          </cell>
          <cell r="E76" t="str">
            <v>木古内町</v>
          </cell>
          <cell r="F76" t="str">
            <v>01</v>
          </cell>
          <cell r="G76" t="str">
            <v>公共 単独</v>
          </cell>
          <cell r="H76" t="str">
            <v>公共下水道</v>
          </cell>
          <cell r="I76" t="str">
            <v>単独</v>
          </cell>
          <cell r="J76" t="str">
            <v>001</v>
          </cell>
          <cell r="K76" t="str">
            <v>きこないクリーンセンター</v>
          </cell>
          <cell r="M76" t="str">
            <v>1</v>
          </cell>
          <cell r="N76" t="str">
            <v>1</v>
          </cell>
          <cell r="Q76">
            <v>38443</v>
          </cell>
          <cell r="R76" t="str">
            <v>平成</v>
          </cell>
          <cell r="S76">
            <v>17</v>
          </cell>
          <cell r="T76">
            <v>4</v>
          </cell>
          <cell r="AB76">
            <v>17000</v>
          </cell>
          <cell r="AC76" t="str">
            <v>設定なし</v>
          </cell>
          <cell r="AF76">
            <v>15</v>
          </cell>
          <cell r="AI76" t="str">
            <v>海域</v>
          </cell>
          <cell r="AL76" t="str">
            <v>中野取水口</v>
          </cell>
          <cell r="AM76">
            <v>5</v>
          </cell>
          <cell r="AO76" t="str">
            <v>木古内町</v>
          </cell>
          <cell r="AQ76" t="str">
            <v/>
          </cell>
          <cell r="AR76" t="str">
            <v>オキシディションディッチ法</v>
          </cell>
          <cell r="AS76" t="str">
            <v>0133401001</v>
          </cell>
          <cell r="AT76" t="str">
            <v/>
          </cell>
          <cell r="AU76" t="str">
            <v>10</v>
          </cell>
          <cell r="AV76" t="str">
            <v>10</v>
          </cell>
          <cell r="AW76">
            <v>0</v>
          </cell>
          <cell r="AX76">
            <v>0</v>
          </cell>
          <cell r="AY76">
            <v>0</v>
          </cell>
          <cell r="AZ76">
            <v>0</v>
          </cell>
          <cell r="BA76">
            <v>0</v>
          </cell>
          <cell r="BD76" t="str">
            <v/>
          </cell>
          <cell r="BE76">
            <v>1</v>
          </cell>
          <cell r="BG76" t="str">
            <v>1100</v>
          </cell>
        </row>
        <row r="77">
          <cell r="B77" t="str">
            <v>G013370206100100</v>
          </cell>
          <cell r="C77" t="str">
            <v>01.北海道</v>
          </cell>
          <cell r="D77" t="str">
            <v>337</v>
          </cell>
          <cell r="E77" t="str">
            <v>七飯町</v>
          </cell>
          <cell r="F77" t="str">
            <v>02</v>
          </cell>
          <cell r="G77" t="str">
            <v>特環 単独</v>
          </cell>
          <cell r="H77" t="str">
            <v>特定環境保全公共下水道</v>
          </cell>
          <cell r="I77" t="str">
            <v>単独</v>
          </cell>
          <cell r="J77" t="str">
            <v>001</v>
          </cell>
          <cell r="K77" t="str">
            <v>大沼下水浄化センター</v>
          </cell>
          <cell r="M77" t="str">
            <v>1</v>
          </cell>
          <cell r="N77" t="str">
            <v>1</v>
          </cell>
          <cell r="O77" t="str">
            <v>1</v>
          </cell>
          <cell r="Q77">
            <v>32599</v>
          </cell>
          <cell r="R77" t="str">
            <v>平成</v>
          </cell>
          <cell r="S77">
            <v>1</v>
          </cell>
          <cell r="T77">
            <v>4</v>
          </cell>
          <cell r="AB77">
            <v>28169</v>
          </cell>
          <cell r="AC77" t="str">
            <v>小沼</v>
          </cell>
          <cell r="AD77" t="str">
            <v>Ａ</v>
          </cell>
          <cell r="AE77" t="str">
            <v>イ</v>
          </cell>
          <cell r="AF77">
            <v>15</v>
          </cell>
          <cell r="AI77" t="str">
            <v>小沼</v>
          </cell>
          <cell r="AQ77" t="str">
            <v/>
          </cell>
          <cell r="AR77" t="str">
            <v>標準活性汚泥法</v>
          </cell>
          <cell r="AS77" t="str">
            <v>0133702001</v>
          </cell>
          <cell r="AT77" t="str">
            <v/>
          </cell>
          <cell r="AU77" t="str">
            <v>11</v>
          </cell>
          <cell r="AV77" t="str">
            <v>11</v>
          </cell>
          <cell r="AW77">
            <v>0</v>
          </cell>
          <cell r="AX77">
            <v>0</v>
          </cell>
          <cell r="AY77">
            <v>0</v>
          </cell>
          <cell r="AZ77">
            <v>0</v>
          </cell>
          <cell r="BA77">
            <v>0</v>
          </cell>
          <cell r="BD77" t="str">
            <v/>
          </cell>
          <cell r="BE77">
            <v>1</v>
          </cell>
          <cell r="BG77" t="str">
            <v>1110</v>
          </cell>
        </row>
        <row r="78">
          <cell r="B78" t="str">
            <v>G013450106100100</v>
          </cell>
          <cell r="C78" t="str">
            <v>01.北海道</v>
          </cell>
          <cell r="D78" t="str">
            <v>345</v>
          </cell>
          <cell r="E78" t="str">
            <v>森町</v>
          </cell>
          <cell r="F78" t="str">
            <v>01</v>
          </cell>
          <cell r="G78" t="str">
            <v>公共 単独</v>
          </cell>
          <cell r="H78" t="str">
            <v>公共下水道</v>
          </cell>
          <cell r="I78" t="str">
            <v>単独</v>
          </cell>
          <cell r="J78" t="str">
            <v>001</v>
          </cell>
          <cell r="K78" t="str">
            <v>森町森浄化センター</v>
          </cell>
          <cell r="M78" t="str">
            <v>1</v>
          </cell>
          <cell r="N78" t="str">
            <v>1</v>
          </cell>
          <cell r="Q78">
            <v>36951</v>
          </cell>
          <cell r="R78" t="str">
            <v>平成</v>
          </cell>
          <cell r="S78">
            <v>13</v>
          </cell>
          <cell r="T78">
            <v>3</v>
          </cell>
          <cell r="AB78">
            <v>30000</v>
          </cell>
          <cell r="AC78" t="str">
            <v>設定なし</v>
          </cell>
          <cell r="AF78">
            <v>15</v>
          </cell>
          <cell r="AI78" t="str">
            <v>尾白内川</v>
          </cell>
          <cell r="AQ78" t="str">
            <v/>
          </cell>
          <cell r="AR78" t="str">
            <v>オキシディションディッチ法</v>
          </cell>
          <cell r="AS78" t="str">
            <v>0134501001</v>
          </cell>
          <cell r="AT78" t="str">
            <v/>
          </cell>
          <cell r="AU78" t="str">
            <v>10</v>
          </cell>
          <cell r="AV78" t="str">
            <v>10</v>
          </cell>
          <cell r="AW78">
            <v>0</v>
          </cell>
          <cell r="AX78">
            <v>0</v>
          </cell>
          <cell r="AY78">
            <v>0</v>
          </cell>
          <cell r="AZ78">
            <v>0</v>
          </cell>
          <cell r="BA78">
            <v>0</v>
          </cell>
          <cell r="BD78" t="str">
            <v/>
          </cell>
          <cell r="BE78">
            <v>1</v>
          </cell>
          <cell r="BG78" t="str">
            <v>1100</v>
          </cell>
        </row>
        <row r="79">
          <cell r="B79" t="str">
            <v>G013460106100100</v>
          </cell>
          <cell r="C79" t="str">
            <v>01.北海道</v>
          </cell>
          <cell r="D79" t="str">
            <v>346</v>
          </cell>
          <cell r="E79" t="str">
            <v>八雲町</v>
          </cell>
          <cell r="F79" t="str">
            <v>01</v>
          </cell>
          <cell r="G79" t="str">
            <v>公共 単独</v>
          </cell>
          <cell r="H79" t="str">
            <v>公共下水道</v>
          </cell>
          <cell r="I79" t="str">
            <v>単独</v>
          </cell>
          <cell r="J79" t="str">
            <v>001</v>
          </cell>
          <cell r="K79" t="str">
            <v>八雲下水浄化センター</v>
          </cell>
          <cell r="M79" t="str">
            <v>1</v>
          </cell>
          <cell r="N79" t="str">
            <v>1</v>
          </cell>
          <cell r="Q79">
            <v>35125</v>
          </cell>
          <cell r="R79" t="str">
            <v>平成</v>
          </cell>
          <cell r="S79">
            <v>8</v>
          </cell>
          <cell r="T79">
            <v>3</v>
          </cell>
          <cell r="AB79">
            <v>35715</v>
          </cell>
          <cell r="AC79" t="str">
            <v>設定なし</v>
          </cell>
          <cell r="AF79">
            <v>15</v>
          </cell>
          <cell r="AI79" t="str">
            <v>普通河川ハシノスベツ川</v>
          </cell>
          <cell r="AL79" t="str">
            <v>八雲浄水場</v>
          </cell>
          <cell r="AM79">
            <v>1</v>
          </cell>
          <cell r="AO79" t="str">
            <v>八雲町</v>
          </cell>
          <cell r="AQ79" t="str">
            <v/>
          </cell>
          <cell r="AR79" t="str">
            <v>オキシディションディッチ法</v>
          </cell>
          <cell r="AS79" t="str">
            <v>0134601001</v>
          </cell>
          <cell r="AT79" t="str">
            <v/>
          </cell>
          <cell r="AU79" t="str">
            <v>10</v>
          </cell>
          <cell r="AV79" t="str">
            <v>10</v>
          </cell>
          <cell r="AW79">
            <v>0</v>
          </cell>
          <cell r="AX79">
            <v>0</v>
          </cell>
          <cell r="AY79">
            <v>0</v>
          </cell>
          <cell r="AZ79">
            <v>0</v>
          </cell>
          <cell r="BA79">
            <v>0</v>
          </cell>
          <cell r="BD79" t="str">
            <v/>
          </cell>
          <cell r="BE79">
            <v>1</v>
          </cell>
          <cell r="BG79" t="str">
            <v>1100</v>
          </cell>
        </row>
        <row r="80">
          <cell r="B80" t="str">
            <v>G013460206100200</v>
          </cell>
          <cell r="C80" t="str">
            <v>01.北海道</v>
          </cell>
          <cell r="D80" t="str">
            <v>346</v>
          </cell>
          <cell r="E80" t="str">
            <v>八雲町</v>
          </cell>
          <cell r="F80" t="str">
            <v>02</v>
          </cell>
          <cell r="G80" t="str">
            <v>特環 単独</v>
          </cell>
          <cell r="H80" t="str">
            <v>特定環境保全公共下水道</v>
          </cell>
          <cell r="I80" t="str">
            <v>単独</v>
          </cell>
          <cell r="J80" t="str">
            <v>002</v>
          </cell>
          <cell r="K80" t="str">
            <v>熊石浄化センター</v>
          </cell>
          <cell r="M80" t="str">
            <v>1</v>
          </cell>
          <cell r="N80" t="str">
            <v>1</v>
          </cell>
          <cell r="Q80">
            <v>36951</v>
          </cell>
          <cell r="R80" t="str">
            <v>平成</v>
          </cell>
          <cell r="S80">
            <v>13</v>
          </cell>
          <cell r="T80">
            <v>3</v>
          </cell>
          <cell r="AB80">
            <v>10870</v>
          </cell>
          <cell r="AF80">
            <v>15</v>
          </cell>
          <cell r="AI80" t="str">
            <v>普通河川大沢川</v>
          </cell>
          <cell r="AQ80" t="str">
            <v/>
          </cell>
          <cell r="AR80" t="str">
            <v>オキシディションディッチ法</v>
          </cell>
          <cell r="AS80" t="str">
            <v>0134602002</v>
          </cell>
          <cell r="AT80" t="str">
            <v/>
          </cell>
          <cell r="AU80" t="str">
            <v>10</v>
          </cell>
          <cell r="AV80" t="str">
            <v>10</v>
          </cell>
          <cell r="AW80">
            <v>0</v>
          </cell>
          <cell r="AX80">
            <v>0</v>
          </cell>
          <cell r="AY80">
            <v>0</v>
          </cell>
          <cell r="AZ80">
            <v>0</v>
          </cell>
          <cell r="BA80">
            <v>0</v>
          </cell>
          <cell r="BD80" t="str">
            <v/>
          </cell>
          <cell r="BE80">
            <v>1</v>
          </cell>
          <cell r="BG80" t="str">
            <v>1100</v>
          </cell>
        </row>
        <row r="81">
          <cell r="B81" t="str">
            <v>G013470106100100</v>
          </cell>
          <cell r="C81" t="str">
            <v>01.北海道</v>
          </cell>
          <cell r="D81" t="str">
            <v>347</v>
          </cell>
          <cell r="E81" t="str">
            <v>長万部町</v>
          </cell>
          <cell r="F81" t="str">
            <v>01</v>
          </cell>
          <cell r="G81" t="str">
            <v>公共 単独</v>
          </cell>
          <cell r="H81" t="str">
            <v>公共下水道</v>
          </cell>
          <cell r="I81" t="str">
            <v>単独</v>
          </cell>
          <cell r="J81" t="str">
            <v>001</v>
          </cell>
          <cell r="K81" t="str">
            <v>長万部終末処理場</v>
          </cell>
          <cell r="M81" t="str">
            <v>1</v>
          </cell>
          <cell r="N81" t="str">
            <v>1</v>
          </cell>
          <cell r="Q81">
            <v>33878</v>
          </cell>
          <cell r="R81" t="str">
            <v>平成</v>
          </cell>
          <cell r="S81">
            <v>4</v>
          </cell>
          <cell r="T81">
            <v>10</v>
          </cell>
          <cell r="AB81">
            <v>13219</v>
          </cell>
          <cell r="AF81">
            <v>15</v>
          </cell>
          <cell r="AI81" t="str">
            <v>南部陣屋川</v>
          </cell>
          <cell r="AQ81" t="str">
            <v/>
          </cell>
          <cell r="AR81" t="str">
            <v>オキシディションディッチ法</v>
          </cell>
          <cell r="AS81" t="str">
            <v>0134701001</v>
          </cell>
          <cell r="AT81" t="str">
            <v/>
          </cell>
          <cell r="AU81" t="str">
            <v>10</v>
          </cell>
          <cell r="AV81" t="str">
            <v>10</v>
          </cell>
          <cell r="AW81">
            <v>0</v>
          </cell>
          <cell r="AX81">
            <v>0</v>
          </cell>
          <cell r="AY81">
            <v>0</v>
          </cell>
          <cell r="AZ81">
            <v>0</v>
          </cell>
          <cell r="BA81">
            <v>0</v>
          </cell>
          <cell r="BD81" t="str">
            <v/>
          </cell>
          <cell r="BE81">
            <v>1</v>
          </cell>
          <cell r="BG81" t="str">
            <v>1100</v>
          </cell>
        </row>
        <row r="82">
          <cell r="B82" t="str">
            <v>G013610106100100</v>
          </cell>
          <cell r="C82" t="str">
            <v>01.北海道</v>
          </cell>
          <cell r="D82" t="str">
            <v>361</v>
          </cell>
          <cell r="E82" t="str">
            <v>江差町</v>
          </cell>
          <cell r="F82" t="str">
            <v>01</v>
          </cell>
          <cell r="G82" t="str">
            <v>公共 単独</v>
          </cell>
          <cell r="H82" t="str">
            <v>公共下水道</v>
          </cell>
          <cell r="I82" t="str">
            <v>単独</v>
          </cell>
          <cell r="J82" t="str">
            <v>001</v>
          </cell>
          <cell r="K82" t="str">
            <v>江差・上ノ国下水道管理センター</v>
          </cell>
          <cell r="M82" t="str">
            <v>1</v>
          </cell>
          <cell r="N82" t="str">
            <v>1</v>
          </cell>
          <cell r="Q82">
            <v>37681</v>
          </cell>
          <cell r="R82" t="str">
            <v>平成</v>
          </cell>
          <cell r="S82">
            <v>15</v>
          </cell>
          <cell r="T82">
            <v>3</v>
          </cell>
          <cell r="AB82">
            <v>18600</v>
          </cell>
          <cell r="AC82" t="str">
            <v>設定なし</v>
          </cell>
          <cell r="AF82">
            <v>15</v>
          </cell>
          <cell r="AI82" t="str">
            <v>檜山支庁海域</v>
          </cell>
          <cell r="AQ82" t="str">
            <v/>
          </cell>
          <cell r="AR82" t="str">
            <v>オキシディションディッチ法</v>
          </cell>
          <cell r="AS82" t="str">
            <v>0136101001</v>
          </cell>
          <cell r="AT82" t="str">
            <v/>
          </cell>
          <cell r="AU82" t="str">
            <v>10</v>
          </cell>
          <cell r="AV82" t="str">
            <v>10</v>
          </cell>
          <cell r="AW82">
            <v>0</v>
          </cell>
          <cell r="AX82">
            <v>0</v>
          </cell>
          <cell r="AY82">
            <v>0</v>
          </cell>
          <cell r="AZ82">
            <v>0</v>
          </cell>
          <cell r="BA82">
            <v>0</v>
          </cell>
          <cell r="BD82" t="str">
            <v/>
          </cell>
          <cell r="BE82">
            <v>1</v>
          </cell>
          <cell r="BG82" t="str">
            <v>1100</v>
          </cell>
        </row>
        <row r="83">
          <cell r="B83" t="str">
            <v>G013640206100100</v>
          </cell>
          <cell r="C83" t="str">
            <v>01.北海道</v>
          </cell>
          <cell r="D83" t="str">
            <v>364</v>
          </cell>
          <cell r="E83" t="str">
            <v>乙部町</v>
          </cell>
          <cell r="F83" t="str">
            <v>02</v>
          </cell>
          <cell r="G83" t="str">
            <v>特環 単独</v>
          </cell>
          <cell r="H83" t="str">
            <v>特定環境保全公共下水道</v>
          </cell>
          <cell r="I83" t="str">
            <v>単独</v>
          </cell>
          <cell r="J83" t="str">
            <v>001</v>
          </cell>
          <cell r="K83" t="str">
            <v>乙部浄化センター</v>
          </cell>
          <cell r="M83" t="str">
            <v>1</v>
          </cell>
          <cell r="N83" t="str">
            <v>1</v>
          </cell>
          <cell r="Q83">
            <v>36951</v>
          </cell>
          <cell r="R83" t="str">
            <v>平成</v>
          </cell>
          <cell r="S83">
            <v>13</v>
          </cell>
          <cell r="T83">
            <v>3</v>
          </cell>
          <cell r="AB83">
            <v>10700</v>
          </cell>
          <cell r="AJ83" t="str">
            <v>姫川</v>
          </cell>
          <cell r="AL83" t="str">
            <v>大川端沢川</v>
          </cell>
          <cell r="AM83">
            <v>9</v>
          </cell>
          <cell r="AO83" t="str">
            <v>乙部町</v>
          </cell>
          <cell r="AQ83" t="str">
            <v/>
          </cell>
          <cell r="AR83" t="str">
            <v>オキシディションディッチ法</v>
          </cell>
          <cell r="AS83" t="str">
            <v>0136402001</v>
          </cell>
          <cell r="AT83" t="str">
            <v/>
          </cell>
          <cell r="AU83" t="str">
            <v>10</v>
          </cell>
          <cell r="AV83" t="str">
            <v>10</v>
          </cell>
          <cell r="AW83">
            <v>0</v>
          </cell>
          <cell r="AX83">
            <v>0</v>
          </cell>
          <cell r="AY83">
            <v>0</v>
          </cell>
          <cell r="AZ83">
            <v>0</v>
          </cell>
          <cell r="BA83">
            <v>0</v>
          </cell>
          <cell r="BD83" t="str">
            <v/>
          </cell>
          <cell r="BE83">
            <v>1</v>
          </cell>
          <cell r="BG83" t="str">
            <v>1100</v>
          </cell>
        </row>
        <row r="84">
          <cell r="B84" t="str">
            <v>G013670206100100</v>
          </cell>
          <cell r="C84" t="str">
            <v>01.北海道</v>
          </cell>
          <cell r="D84" t="str">
            <v>367</v>
          </cell>
          <cell r="E84" t="str">
            <v>奥尻町</v>
          </cell>
          <cell r="F84" t="str">
            <v>02</v>
          </cell>
          <cell r="G84" t="str">
            <v>特環 単独</v>
          </cell>
          <cell r="H84" t="str">
            <v>特定環境保全公共下水道</v>
          </cell>
          <cell r="I84" t="str">
            <v>単独</v>
          </cell>
          <cell r="J84" t="str">
            <v>001</v>
          </cell>
          <cell r="K84" t="str">
            <v>奥尻クリーンセンター</v>
          </cell>
          <cell r="M84" t="str">
            <v>1</v>
          </cell>
          <cell r="N84" t="str">
            <v>1</v>
          </cell>
          <cell r="Q84">
            <v>37344</v>
          </cell>
          <cell r="R84" t="str">
            <v>平成</v>
          </cell>
          <cell r="S84">
            <v>14</v>
          </cell>
          <cell r="T84">
            <v>3</v>
          </cell>
          <cell r="AB84">
            <v>5000</v>
          </cell>
          <cell r="AF84">
            <v>15</v>
          </cell>
          <cell r="AJ84" t="str">
            <v>烏頭川</v>
          </cell>
          <cell r="AQ84" t="str">
            <v/>
          </cell>
          <cell r="AR84" t="str">
            <v>オキシディションディッチ法</v>
          </cell>
          <cell r="AS84" t="str">
            <v>0136702001</v>
          </cell>
          <cell r="AT84" t="str">
            <v/>
          </cell>
          <cell r="AU84" t="str">
            <v>10</v>
          </cell>
          <cell r="AV84" t="str">
            <v>10</v>
          </cell>
          <cell r="AW84">
            <v>0</v>
          </cell>
          <cell r="AX84">
            <v>0</v>
          </cell>
          <cell r="AY84">
            <v>0</v>
          </cell>
          <cell r="AZ84">
            <v>0</v>
          </cell>
          <cell r="BA84">
            <v>0</v>
          </cell>
          <cell r="BD84" t="str">
            <v/>
          </cell>
          <cell r="BE84">
            <v>1</v>
          </cell>
          <cell r="BG84" t="str">
            <v>1100</v>
          </cell>
        </row>
        <row r="85">
          <cell r="B85" t="str">
            <v>G013700106100100</v>
          </cell>
          <cell r="C85" t="str">
            <v>01.北海道</v>
          </cell>
          <cell r="D85" t="str">
            <v>370</v>
          </cell>
          <cell r="E85" t="str">
            <v>今金町</v>
          </cell>
          <cell r="F85" t="str">
            <v>01</v>
          </cell>
          <cell r="G85" t="str">
            <v>公共 単独</v>
          </cell>
          <cell r="H85" t="str">
            <v>公共下水道</v>
          </cell>
          <cell r="I85" t="str">
            <v>単独</v>
          </cell>
          <cell r="J85" t="str">
            <v>001</v>
          </cell>
          <cell r="K85" t="str">
            <v>今金浄化センター</v>
          </cell>
          <cell r="M85" t="str">
            <v>1</v>
          </cell>
          <cell r="N85" t="str">
            <v>1</v>
          </cell>
          <cell r="Q85">
            <v>37895</v>
          </cell>
          <cell r="R85" t="str">
            <v>平成</v>
          </cell>
          <cell r="S85">
            <v>15</v>
          </cell>
          <cell r="T85">
            <v>10</v>
          </cell>
          <cell r="AB85">
            <v>13400</v>
          </cell>
          <cell r="AC85" t="str">
            <v>今金橋</v>
          </cell>
          <cell r="AD85" t="str">
            <v>Ａ</v>
          </cell>
          <cell r="AE85" t="str">
            <v>イ</v>
          </cell>
          <cell r="AF85">
            <v>15</v>
          </cell>
          <cell r="AK85" t="str">
            <v>後志利別川</v>
          </cell>
          <cell r="AQ85" t="str">
            <v/>
          </cell>
          <cell r="AR85" t="str">
            <v>オキシディションディッチ法</v>
          </cell>
          <cell r="AS85" t="str">
            <v>0137001001</v>
          </cell>
          <cell r="AT85" t="str">
            <v/>
          </cell>
          <cell r="AU85" t="str">
            <v>10</v>
          </cell>
          <cell r="AV85" t="str">
            <v>10</v>
          </cell>
          <cell r="AW85">
            <v>0</v>
          </cell>
          <cell r="AX85">
            <v>0</v>
          </cell>
          <cell r="AY85">
            <v>0</v>
          </cell>
          <cell r="AZ85">
            <v>0</v>
          </cell>
          <cell r="BA85">
            <v>0</v>
          </cell>
          <cell r="BD85" t="str">
            <v/>
          </cell>
          <cell r="BE85">
            <v>1</v>
          </cell>
          <cell r="BG85" t="str">
            <v>1100</v>
          </cell>
        </row>
        <row r="86">
          <cell r="B86" t="str">
            <v>G013710106100100</v>
          </cell>
          <cell r="C86" t="str">
            <v>01.北海道</v>
          </cell>
          <cell r="D86" t="str">
            <v>371</v>
          </cell>
          <cell r="E86" t="str">
            <v>せたな町</v>
          </cell>
          <cell r="F86" t="str">
            <v>01</v>
          </cell>
          <cell r="G86" t="str">
            <v>公共 単独</v>
          </cell>
          <cell r="H86" t="str">
            <v>公共下水道</v>
          </cell>
          <cell r="I86" t="str">
            <v>単独</v>
          </cell>
          <cell r="J86" t="str">
            <v>001</v>
          </cell>
          <cell r="K86" t="str">
            <v>北檜山下水処理場</v>
          </cell>
          <cell r="M86" t="str">
            <v>1</v>
          </cell>
          <cell r="N86" t="str">
            <v>1</v>
          </cell>
          <cell r="Q86">
            <v>35704</v>
          </cell>
          <cell r="R86" t="str">
            <v>平成</v>
          </cell>
          <cell r="S86">
            <v>9</v>
          </cell>
          <cell r="T86">
            <v>10</v>
          </cell>
          <cell r="AB86">
            <v>17500</v>
          </cell>
          <cell r="AC86" t="str">
            <v>後志利別川下流(2)</v>
          </cell>
          <cell r="AD86" t="str">
            <v>Ｂ</v>
          </cell>
          <cell r="AE86" t="str">
            <v>イ</v>
          </cell>
          <cell r="AF86">
            <v>15</v>
          </cell>
          <cell r="AK86" t="str">
            <v>後志利別川</v>
          </cell>
          <cell r="AQ86" t="str">
            <v/>
          </cell>
          <cell r="AR86" t="str">
            <v>オキシディションディッチ法</v>
          </cell>
          <cell r="AS86" t="str">
            <v>0137101001</v>
          </cell>
          <cell r="AT86" t="str">
            <v/>
          </cell>
          <cell r="AU86" t="str">
            <v>10</v>
          </cell>
          <cell r="AV86" t="str">
            <v>10</v>
          </cell>
          <cell r="AW86">
            <v>0</v>
          </cell>
          <cell r="AX86">
            <v>0</v>
          </cell>
          <cell r="AY86">
            <v>0</v>
          </cell>
          <cell r="AZ86">
            <v>0</v>
          </cell>
          <cell r="BA86">
            <v>0</v>
          </cell>
          <cell r="BD86" t="str">
            <v/>
          </cell>
          <cell r="BE86">
            <v>1</v>
          </cell>
          <cell r="BG86" t="str">
            <v>1100</v>
          </cell>
        </row>
        <row r="87">
          <cell r="B87" t="str">
            <v>G013710206100200</v>
          </cell>
          <cell r="C87" t="str">
            <v>01.北海道</v>
          </cell>
          <cell r="D87" t="str">
            <v>371</v>
          </cell>
          <cell r="E87" t="str">
            <v>せたな町</v>
          </cell>
          <cell r="F87" t="str">
            <v>02</v>
          </cell>
          <cell r="G87" t="str">
            <v>特環 単独</v>
          </cell>
          <cell r="H87" t="str">
            <v>特定環境保全公共下水道</v>
          </cell>
          <cell r="I87" t="str">
            <v>単独</v>
          </cell>
          <cell r="J87" t="str">
            <v>002</v>
          </cell>
          <cell r="K87" t="str">
            <v>せたなクリーンセンター</v>
          </cell>
          <cell r="M87" t="str">
            <v>1</v>
          </cell>
          <cell r="N87" t="str">
            <v>1</v>
          </cell>
          <cell r="Q87">
            <v>36586</v>
          </cell>
          <cell r="R87" t="str">
            <v>平成</v>
          </cell>
          <cell r="S87">
            <v>12</v>
          </cell>
          <cell r="T87">
            <v>3</v>
          </cell>
          <cell r="AB87">
            <v>11390</v>
          </cell>
          <cell r="AF87">
            <v>15</v>
          </cell>
          <cell r="AI87" t="str">
            <v>最内川</v>
          </cell>
          <cell r="AQ87" t="str">
            <v/>
          </cell>
          <cell r="AR87" t="str">
            <v>オキシディションディッチ法</v>
          </cell>
          <cell r="AS87" t="str">
            <v>0137102002</v>
          </cell>
          <cell r="AT87" t="str">
            <v/>
          </cell>
          <cell r="AU87" t="str">
            <v>10</v>
          </cell>
          <cell r="AV87" t="str">
            <v>10</v>
          </cell>
          <cell r="AW87">
            <v>0</v>
          </cell>
          <cell r="AX87">
            <v>0</v>
          </cell>
          <cell r="AY87">
            <v>0</v>
          </cell>
          <cell r="AZ87">
            <v>0</v>
          </cell>
          <cell r="BA87">
            <v>0</v>
          </cell>
          <cell r="BD87" t="str">
            <v/>
          </cell>
          <cell r="BE87">
            <v>1</v>
          </cell>
          <cell r="BG87" t="str">
            <v>1100</v>
          </cell>
        </row>
        <row r="88">
          <cell r="B88" t="str">
            <v>G013710206100300</v>
          </cell>
          <cell r="C88" t="str">
            <v>01.北海道</v>
          </cell>
          <cell r="D88" t="str">
            <v>371</v>
          </cell>
          <cell r="E88" t="str">
            <v>せたな町</v>
          </cell>
          <cell r="F88" t="str">
            <v>02</v>
          </cell>
          <cell r="G88" t="str">
            <v>特環 単独</v>
          </cell>
          <cell r="H88" t="str">
            <v>特定環境保全公共下水道</v>
          </cell>
          <cell r="I88" t="str">
            <v>単独</v>
          </cell>
          <cell r="J88" t="str">
            <v>003</v>
          </cell>
          <cell r="K88" t="str">
            <v>大成浄化センター</v>
          </cell>
          <cell r="M88" t="str">
            <v>1</v>
          </cell>
          <cell r="N88" t="str">
            <v>1</v>
          </cell>
          <cell r="Q88">
            <v>37681</v>
          </cell>
          <cell r="R88" t="str">
            <v>平成</v>
          </cell>
          <cell r="S88">
            <v>15</v>
          </cell>
          <cell r="T88">
            <v>3</v>
          </cell>
          <cell r="AB88">
            <v>3860</v>
          </cell>
          <cell r="AF88">
            <v>15</v>
          </cell>
          <cell r="AI88" t="str">
            <v>日本海</v>
          </cell>
          <cell r="AQ88" t="str">
            <v/>
          </cell>
          <cell r="AR88" t="str">
            <v>オキシディションディッチ法</v>
          </cell>
          <cell r="AS88" t="str">
            <v>0137102003</v>
          </cell>
          <cell r="AT88" t="str">
            <v/>
          </cell>
          <cell r="AU88" t="str">
            <v>10</v>
          </cell>
          <cell r="AV88" t="str">
            <v>10</v>
          </cell>
          <cell r="AW88">
            <v>0</v>
          </cell>
          <cell r="AX88">
            <v>0</v>
          </cell>
          <cell r="AY88">
            <v>0</v>
          </cell>
          <cell r="AZ88">
            <v>0</v>
          </cell>
          <cell r="BA88">
            <v>0</v>
          </cell>
          <cell r="BD88" t="str">
            <v/>
          </cell>
          <cell r="BE88">
            <v>1</v>
          </cell>
          <cell r="BG88" t="str">
            <v>1100</v>
          </cell>
        </row>
        <row r="89">
          <cell r="B89" t="str">
            <v>G013920206100100</v>
          </cell>
          <cell r="C89" t="str">
            <v>01.北海道</v>
          </cell>
          <cell r="D89" t="str">
            <v>392</v>
          </cell>
          <cell r="E89" t="str">
            <v>寿都町</v>
          </cell>
          <cell r="F89" t="str">
            <v>02</v>
          </cell>
          <cell r="G89" t="str">
            <v>特環 単独</v>
          </cell>
          <cell r="H89" t="str">
            <v>特定環境保全公共下水道</v>
          </cell>
          <cell r="I89" t="str">
            <v>単独</v>
          </cell>
          <cell r="J89" t="str">
            <v>001</v>
          </cell>
          <cell r="K89" t="str">
            <v>シークリーン寿都</v>
          </cell>
          <cell r="M89" t="str">
            <v>1</v>
          </cell>
          <cell r="Q89">
            <v>36951</v>
          </cell>
          <cell r="R89" t="str">
            <v>平成</v>
          </cell>
          <cell r="S89">
            <v>13</v>
          </cell>
          <cell r="T89">
            <v>3</v>
          </cell>
          <cell r="AB89">
            <v>3200</v>
          </cell>
          <cell r="AF89">
            <v>15</v>
          </cell>
          <cell r="AI89" t="str">
            <v>山本の川</v>
          </cell>
          <cell r="AQ89" t="str">
            <v/>
          </cell>
          <cell r="AR89" t="str">
            <v>好気性ろ床法</v>
          </cell>
          <cell r="AS89" t="str">
            <v>0139202001</v>
          </cell>
          <cell r="AT89" t="str">
            <v/>
          </cell>
          <cell r="AU89" t="str">
            <v>00</v>
          </cell>
          <cell r="AV89" t="str">
            <v>00</v>
          </cell>
          <cell r="AW89">
            <v>0</v>
          </cell>
          <cell r="AX89">
            <v>0</v>
          </cell>
          <cell r="AY89">
            <v>0</v>
          </cell>
          <cell r="AZ89">
            <v>0</v>
          </cell>
          <cell r="BA89">
            <v>0</v>
          </cell>
          <cell r="BD89" t="str">
            <v/>
          </cell>
          <cell r="BE89">
            <v>1</v>
          </cell>
          <cell r="BG89" t="str">
            <v>1000</v>
          </cell>
        </row>
        <row r="90">
          <cell r="B90" t="str">
            <v>G013930206100100</v>
          </cell>
          <cell r="C90" t="str">
            <v>01.北海道</v>
          </cell>
          <cell r="D90" t="str">
            <v>393</v>
          </cell>
          <cell r="E90" t="str">
            <v>黒松内町</v>
          </cell>
          <cell r="F90" t="str">
            <v>02</v>
          </cell>
          <cell r="G90" t="str">
            <v>特環 単独</v>
          </cell>
          <cell r="H90" t="str">
            <v>特定環境保全公共下水道</v>
          </cell>
          <cell r="I90" t="str">
            <v>単独</v>
          </cell>
          <cell r="J90" t="str">
            <v>001</v>
          </cell>
          <cell r="K90" t="str">
            <v>黒松内町終末処理場</v>
          </cell>
          <cell r="M90" t="str">
            <v>1</v>
          </cell>
          <cell r="N90" t="str">
            <v>1</v>
          </cell>
          <cell r="Q90">
            <v>35370</v>
          </cell>
          <cell r="R90" t="str">
            <v>平成</v>
          </cell>
          <cell r="S90">
            <v>8</v>
          </cell>
          <cell r="T90">
            <v>11</v>
          </cell>
          <cell r="AB90">
            <v>5232</v>
          </cell>
          <cell r="AF90">
            <v>15</v>
          </cell>
          <cell r="AJ90" t="str">
            <v>朱太川</v>
          </cell>
          <cell r="AQ90" t="str">
            <v/>
          </cell>
          <cell r="AR90" t="str">
            <v>オキシディションディッチ法</v>
          </cell>
          <cell r="AS90" t="str">
            <v>0139302001</v>
          </cell>
          <cell r="AT90" t="str">
            <v/>
          </cell>
          <cell r="AU90" t="str">
            <v>10</v>
          </cell>
          <cell r="AV90" t="str">
            <v>10</v>
          </cell>
          <cell r="AW90">
            <v>0</v>
          </cell>
          <cell r="AX90">
            <v>0</v>
          </cell>
          <cell r="AY90">
            <v>0</v>
          </cell>
          <cell r="AZ90">
            <v>0</v>
          </cell>
          <cell r="BA90">
            <v>0</v>
          </cell>
          <cell r="BD90" t="str">
            <v/>
          </cell>
          <cell r="BE90">
            <v>1</v>
          </cell>
          <cell r="BG90" t="str">
            <v>1100</v>
          </cell>
        </row>
        <row r="91">
          <cell r="B91" t="str">
            <v>G013950206100100</v>
          </cell>
          <cell r="C91" t="str">
            <v>01.北海道</v>
          </cell>
          <cell r="D91" t="str">
            <v>395</v>
          </cell>
          <cell r="E91" t="str">
            <v>ニセコ町</v>
          </cell>
          <cell r="F91" t="str">
            <v>02</v>
          </cell>
          <cell r="G91" t="str">
            <v>特環 単独</v>
          </cell>
          <cell r="H91" t="str">
            <v>特定環境保全公共下水道</v>
          </cell>
          <cell r="I91" t="str">
            <v>単独</v>
          </cell>
          <cell r="J91" t="str">
            <v>001</v>
          </cell>
          <cell r="K91" t="str">
            <v>ニセコ町下水道管理センター</v>
          </cell>
          <cell r="M91" t="str">
            <v>1</v>
          </cell>
          <cell r="N91" t="str">
            <v>1</v>
          </cell>
          <cell r="Q91">
            <v>36831</v>
          </cell>
          <cell r="R91" t="str">
            <v>平成</v>
          </cell>
          <cell r="S91">
            <v>12</v>
          </cell>
          <cell r="T91">
            <v>11</v>
          </cell>
          <cell r="AB91">
            <v>12100</v>
          </cell>
          <cell r="AC91" t="str">
            <v>尻別川下流(3)</v>
          </cell>
          <cell r="AD91" t="str">
            <v>Ｃ</v>
          </cell>
          <cell r="AE91" t="str">
            <v>ロ</v>
          </cell>
          <cell r="AF91">
            <v>15</v>
          </cell>
          <cell r="AK91" t="str">
            <v>真狩川</v>
          </cell>
          <cell r="AQ91" t="str">
            <v/>
          </cell>
          <cell r="AR91" t="str">
            <v>オキシディションディッチ法</v>
          </cell>
          <cell r="AS91" t="str">
            <v>0139502001</v>
          </cell>
          <cell r="AT91" t="str">
            <v/>
          </cell>
          <cell r="AU91" t="str">
            <v>10</v>
          </cell>
          <cell r="AV91" t="str">
            <v>10</v>
          </cell>
          <cell r="AW91">
            <v>0</v>
          </cell>
          <cell r="AX91">
            <v>0</v>
          </cell>
          <cell r="AY91">
            <v>0</v>
          </cell>
          <cell r="AZ91">
            <v>0</v>
          </cell>
          <cell r="BA91">
            <v>0</v>
          </cell>
          <cell r="BD91" t="str">
            <v/>
          </cell>
          <cell r="BE91">
            <v>1</v>
          </cell>
          <cell r="BG91" t="str">
            <v>1100</v>
          </cell>
        </row>
        <row r="92">
          <cell r="B92" t="str">
            <v>G013960206100100</v>
          </cell>
          <cell r="C92" t="str">
            <v>01.北海道</v>
          </cell>
          <cell r="D92" t="str">
            <v>396</v>
          </cell>
          <cell r="E92" t="str">
            <v>真狩村</v>
          </cell>
          <cell r="F92" t="str">
            <v>02</v>
          </cell>
          <cell r="G92" t="str">
            <v>特環 単独</v>
          </cell>
          <cell r="H92" t="str">
            <v>特定環境保全公共下水道</v>
          </cell>
          <cell r="I92" t="str">
            <v>単独</v>
          </cell>
          <cell r="J92" t="str">
            <v>001</v>
          </cell>
          <cell r="K92" t="str">
            <v>真狩村浄化センター</v>
          </cell>
          <cell r="M92" t="str">
            <v>1</v>
          </cell>
          <cell r="N92" t="str">
            <v>1</v>
          </cell>
          <cell r="Q92">
            <v>36465</v>
          </cell>
          <cell r="R92" t="str">
            <v>平成</v>
          </cell>
          <cell r="S92">
            <v>11</v>
          </cell>
          <cell r="T92">
            <v>11</v>
          </cell>
          <cell r="AB92">
            <v>26078</v>
          </cell>
          <cell r="AC92" t="str">
            <v>尻別川</v>
          </cell>
          <cell r="AD92" t="str">
            <v>Ｃ</v>
          </cell>
          <cell r="AE92" t="str">
            <v>ロ</v>
          </cell>
          <cell r="AF92">
            <v>15</v>
          </cell>
          <cell r="AI92" t="str">
            <v>大沢川</v>
          </cell>
          <cell r="AK92" t="str">
            <v>真狩川</v>
          </cell>
          <cell r="AQ92" t="str">
            <v/>
          </cell>
          <cell r="AR92" t="str">
            <v>オキシディションディッチ法</v>
          </cell>
          <cell r="AS92" t="str">
            <v>0139602001</v>
          </cell>
          <cell r="AT92" t="str">
            <v/>
          </cell>
          <cell r="AU92" t="str">
            <v>10</v>
          </cell>
          <cell r="AV92" t="str">
            <v>10</v>
          </cell>
          <cell r="AW92">
            <v>0</v>
          </cell>
          <cell r="AX92">
            <v>0</v>
          </cell>
          <cell r="AY92">
            <v>0</v>
          </cell>
          <cell r="AZ92">
            <v>0</v>
          </cell>
          <cell r="BA92">
            <v>0</v>
          </cell>
          <cell r="BD92" t="str">
            <v/>
          </cell>
          <cell r="BE92">
            <v>1</v>
          </cell>
          <cell r="BG92" t="str">
            <v>1100</v>
          </cell>
        </row>
        <row r="93">
          <cell r="B93" t="str">
            <v>G013970206100100</v>
          </cell>
          <cell r="C93" t="str">
            <v>01.北海道</v>
          </cell>
          <cell r="D93" t="str">
            <v>397</v>
          </cell>
          <cell r="E93" t="str">
            <v>留寿都村</v>
          </cell>
          <cell r="F93" t="str">
            <v>02</v>
          </cell>
          <cell r="G93" t="str">
            <v>特環 単独</v>
          </cell>
          <cell r="H93" t="str">
            <v>特定環境保全公共下水道</v>
          </cell>
          <cell r="I93" t="str">
            <v>単独</v>
          </cell>
          <cell r="J93" t="str">
            <v>001</v>
          </cell>
          <cell r="K93" t="str">
            <v>留寿都浄化センター</v>
          </cell>
          <cell r="M93" t="str">
            <v>1</v>
          </cell>
          <cell r="N93" t="str">
            <v>1</v>
          </cell>
          <cell r="Q93">
            <v>38078</v>
          </cell>
          <cell r="R93" t="str">
            <v>平成</v>
          </cell>
          <cell r="S93">
            <v>16</v>
          </cell>
          <cell r="T93">
            <v>4</v>
          </cell>
          <cell r="AB93">
            <v>7672</v>
          </cell>
          <cell r="AF93">
            <v>15</v>
          </cell>
          <cell r="AI93" t="str">
            <v>ポン貫気別川</v>
          </cell>
          <cell r="AJ93" t="str">
            <v>貫気別川</v>
          </cell>
          <cell r="AQ93" t="str">
            <v/>
          </cell>
          <cell r="AR93" t="str">
            <v>オキシディションディッチ法</v>
          </cell>
          <cell r="AS93" t="str">
            <v>0139702001</v>
          </cell>
          <cell r="AT93" t="str">
            <v/>
          </cell>
          <cell r="AU93" t="str">
            <v>10</v>
          </cell>
          <cell r="AV93" t="str">
            <v>10</v>
          </cell>
          <cell r="AW93">
            <v>0</v>
          </cell>
          <cell r="AX93">
            <v>0</v>
          </cell>
          <cell r="AY93">
            <v>0</v>
          </cell>
          <cell r="AZ93">
            <v>0</v>
          </cell>
          <cell r="BA93">
            <v>0</v>
          </cell>
          <cell r="BD93" t="str">
            <v/>
          </cell>
          <cell r="BE93">
            <v>1</v>
          </cell>
          <cell r="BG93" t="str">
            <v>1100</v>
          </cell>
        </row>
        <row r="94">
          <cell r="B94" t="str">
            <v>G013980206100100</v>
          </cell>
          <cell r="C94" t="str">
            <v>01.北海道</v>
          </cell>
          <cell r="D94" t="str">
            <v>398</v>
          </cell>
          <cell r="E94" t="str">
            <v>喜茂別町</v>
          </cell>
          <cell r="F94" t="str">
            <v>02</v>
          </cell>
          <cell r="G94" t="str">
            <v>特環 単独</v>
          </cell>
          <cell r="H94" t="str">
            <v>特定環境保全公共下水道</v>
          </cell>
          <cell r="I94" t="str">
            <v>単独</v>
          </cell>
          <cell r="J94" t="str">
            <v>001</v>
          </cell>
          <cell r="K94" t="str">
            <v>きもべつ浄化センター</v>
          </cell>
          <cell r="M94" t="str">
            <v>1</v>
          </cell>
          <cell r="N94" t="str">
            <v>1</v>
          </cell>
          <cell r="O94" t="str">
            <v>1</v>
          </cell>
          <cell r="Q94">
            <v>36951</v>
          </cell>
          <cell r="R94" t="str">
            <v>平成</v>
          </cell>
          <cell r="S94">
            <v>13</v>
          </cell>
          <cell r="T94">
            <v>3</v>
          </cell>
          <cell r="AB94">
            <v>7598</v>
          </cell>
          <cell r="AC94" t="str">
            <v>名駒水位観測所</v>
          </cell>
          <cell r="AD94" t="str">
            <v>Ａ</v>
          </cell>
          <cell r="AE94" t="str">
            <v>イ</v>
          </cell>
          <cell r="AF94">
            <v>15</v>
          </cell>
          <cell r="AK94" t="str">
            <v>尻別川水系尻別川</v>
          </cell>
          <cell r="AQ94" t="str">
            <v/>
          </cell>
          <cell r="AR94" t="str">
            <v>オキシディションディッチ法</v>
          </cell>
          <cell r="AS94" t="str">
            <v>0139802001</v>
          </cell>
          <cell r="AT94" t="str">
            <v/>
          </cell>
          <cell r="AU94" t="str">
            <v>11</v>
          </cell>
          <cell r="AV94" t="str">
            <v>10</v>
          </cell>
          <cell r="AW94">
            <v>0</v>
          </cell>
          <cell r="AX94">
            <v>0</v>
          </cell>
          <cell r="AY94">
            <v>-1</v>
          </cell>
          <cell r="AZ94">
            <v>0</v>
          </cell>
          <cell r="BA94">
            <v>1</v>
          </cell>
          <cell r="BC94" t="str">
            <v>コンポスト休止</v>
          </cell>
          <cell r="BD94" t="str">
            <v>コンポスト休止</v>
          </cell>
          <cell r="BE94">
            <v>1</v>
          </cell>
          <cell r="BG94" t="str">
            <v>1110</v>
          </cell>
        </row>
        <row r="95">
          <cell r="B95" t="str">
            <v>G013990206100100</v>
          </cell>
          <cell r="C95" t="str">
            <v>01.北海道</v>
          </cell>
          <cell r="D95" t="str">
            <v>399</v>
          </cell>
          <cell r="E95" t="str">
            <v>京極町</v>
          </cell>
          <cell r="F95" t="str">
            <v>02</v>
          </cell>
          <cell r="G95" t="str">
            <v>特環 単独</v>
          </cell>
          <cell r="H95" t="str">
            <v>特定環境保全公共下水道</v>
          </cell>
          <cell r="I95" t="str">
            <v>単独</v>
          </cell>
          <cell r="J95" t="str">
            <v>001</v>
          </cell>
          <cell r="K95" t="str">
            <v>京極町下水終末処理場</v>
          </cell>
          <cell r="M95" t="str">
            <v>1</v>
          </cell>
          <cell r="N95" t="str">
            <v>1</v>
          </cell>
          <cell r="Q95">
            <v>31736</v>
          </cell>
          <cell r="R95" t="str">
            <v>昭和</v>
          </cell>
          <cell r="S95">
            <v>61</v>
          </cell>
          <cell r="T95">
            <v>11</v>
          </cell>
          <cell r="AB95">
            <v>9976</v>
          </cell>
          <cell r="AC95" t="str">
            <v>尻別川</v>
          </cell>
          <cell r="AD95" t="str">
            <v>Ａ</v>
          </cell>
          <cell r="AE95" t="str">
            <v>イ</v>
          </cell>
          <cell r="AF95">
            <v>15</v>
          </cell>
          <cell r="AK95" t="str">
            <v>尻別川</v>
          </cell>
          <cell r="AQ95" t="str">
            <v/>
          </cell>
          <cell r="AR95" t="str">
            <v>オキシディションディッチ法</v>
          </cell>
          <cell r="AS95" t="str">
            <v>0139902001</v>
          </cell>
          <cell r="AT95" t="str">
            <v/>
          </cell>
          <cell r="AU95" t="str">
            <v>10</v>
          </cell>
          <cell r="AV95" t="str">
            <v>10</v>
          </cell>
          <cell r="AW95">
            <v>0</v>
          </cell>
          <cell r="AX95">
            <v>0</v>
          </cell>
          <cell r="AY95">
            <v>0</v>
          </cell>
          <cell r="AZ95">
            <v>0</v>
          </cell>
          <cell r="BA95">
            <v>0</v>
          </cell>
          <cell r="BD95" t="str">
            <v/>
          </cell>
          <cell r="BE95">
            <v>1</v>
          </cell>
          <cell r="BG95" t="str">
            <v>1100</v>
          </cell>
        </row>
        <row r="96">
          <cell r="B96" t="str">
            <v>G014000106100100</v>
          </cell>
          <cell r="C96" t="str">
            <v>01.北海道</v>
          </cell>
          <cell r="D96" t="str">
            <v>400</v>
          </cell>
          <cell r="E96" t="str">
            <v>倶知安町</v>
          </cell>
          <cell r="F96" t="str">
            <v>01</v>
          </cell>
          <cell r="G96" t="str">
            <v>公共 単独</v>
          </cell>
          <cell r="H96" t="str">
            <v>公共下水道</v>
          </cell>
          <cell r="I96" t="str">
            <v>単独</v>
          </cell>
          <cell r="J96" t="str">
            <v>001</v>
          </cell>
          <cell r="K96" t="str">
            <v>倶知安町下水終末処理場</v>
          </cell>
          <cell r="M96" t="str">
            <v>1</v>
          </cell>
          <cell r="N96" t="str">
            <v>1</v>
          </cell>
          <cell r="Q96">
            <v>32933</v>
          </cell>
          <cell r="R96" t="str">
            <v>平成</v>
          </cell>
          <cell r="S96">
            <v>2</v>
          </cell>
          <cell r="T96">
            <v>3</v>
          </cell>
          <cell r="AB96">
            <v>23511</v>
          </cell>
          <cell r="AC96" t="str">
            <v>尻別川下流(2)</v>
          </cell>
          <cell r="AD96" t="str">
            <v>Ａ</v>
          </cell>
          <cell r="AE96" t="str">
            <v>イ</v>
          </cell>
          <cell r="AF96">
            <v>15</v>
          </cell>
          <cell r="AK96" t="str">
            <v>尻別川</v>
          </cell>
          <cell r="AQ96" t="str">
            <v/>
          </cell>
          <cell r="AR96" t="str">
            <v>標準活性汚泥法</v>
          </cell>
          <cell r="AS96" t="str">
            <v>0140001001</v>
          </cell>
          <cell r="AT96" t="str">
            <v/>
          </cell>
          <cell r="AU96" t="str">
            <v>10</v>
          </cell>
          <cell r="AV96" t="str">
            <v>10</v>
          </cell>
          <cell r="AW96">
            <v>0</v>
          </cell>
          <cell r="AX96">
            <v>0</v>
          </cell>
          <cell r="AY96">
            <v>0</v>
          </cell>
          <cell r="AZ96">
            <v>0</v>
          </cell>
          <cell r="BA96">
            <v>0</v>
          </cell>
          <cell r="BD96" t="str">
            <v/>
          </cell>
          <cell r="BE96">
            <v>1</v>
          </cell>
          <cell r="BG96" t="str">
            <v>1100</v>
          </cell>
        </row>
        <row r="97">
          <cell r="B97" t="str">
            <v>G014020106100100</v>
          </cell>
          <cell r="C97" t="str">
            <v>01.北海道</v>
          </cell>
          <cell r="D97" t="str">
            <v>402</v>
          </cell>
          <cell r="E97" t="str">
            <v>岩内町</v>
          </cell>
          <cell r="F97" t="str">
            <v>01</v>
          </cell>
          <cell r="G97" t="str">
            <v>公共 単独</v>
          </cell>
          <cell r="H97" t="str">
            <v>公共下水道</v>
          </cell>
          <cell r="I97" t="str">
            <v>単独</v>
          </cell>
          <cell r="J97" t="str">
            <v>001</v>
          </cell>
          <cell r="K97" t="str">
            <v>岩内・共和下水道管理センター</v>
          </cell>
          <cell r="M97" t="str">
            <v>1</v>
          </cell>
          <cell r="N97" t="str">
            <v>1</v>
          </cell>
          <cell r="Q97">
            <v>38442</v>
          </cell>
          <cell r="R97" t="str">
            <v>平成</v>
          </cell>
          <cell r="S97">
            <v>17</v>
          </cell>
          <cell r="T97">
            <v>3</v>
          </cell>
          <cell r="AB97">
            <v>44747</v>
          </cell>
          <cell r="AF97">
            <v>15</v>
          </cell>
          <cell r="AJ97" t="str">
            <v>堀株川</v>
          </cell>
          <cell r="AL97" t="str">
            <v>宮丘浄水場</v>
          </cell>
          <cell r="AM97">
            <v>1.5</v>
          </cell>
          <cell r="AO97" t="str">
            <v>共和町</v>
          </cell>
          <cell r="AQ97" t="str">
            <v/>
          </cell>
          <cell r="AR97" t="str">
            <v>標準活性汚泥法</v>
          </cell>
          <cell r="AS97" t="str">
            <v>0140201001</v>
          </cell>
          <cell r="AT97" t="str">
            <v/>
          </cell>
          <cell r="AU97" t="str">
            <v>10</v>
          </cell>
          <cell r="AV97" t="str">
            <v>10</v>
          </cell>
          <cell r="AW97">
            <v>0</v>
          </cell>
          <cell r="AX97">
            <v>0</v>
          </cell>
          <cell r="AY97">
            <v>0</v>
          </cell>
          <cell r="AZ97">
            <v>0</v>
          </cell>
          <cell r="BA97">
            <v>0</v>
          </cell>
          <cell r="BD97" t="str">
            <v/>
          </cell>
          <cell r="BE97">
            <v>1</v>
          </cell>
          <cell r="BG97" t="str">
            <v>1100</v>
          </cell>
        </row>
        <row r="98">
          <cell r="B98" t="str">
            <v>G014030206100100</v>
          </cell>
          <cell r="C98" t="str">
            <v>01.北海道</v>
          </cell>
          <cell r="D98" t="str">
            <v>403</v>
          </cell>
          <cell r="E98" t="str">
            <v>泊村</v>
          </cell>
          <cell r="F98" t="str">
            <v>02</v>
          </cell>
          <cell r="G98" t="str">
            <v>特環 単独</v>
          </cell>
          <cell r="H98" t="str">
            <v>特定環境保全公共下水道</v>
          </cell>
          <cell r="I98" t="str">
            <v>単独</v>
          </cell>
          <cell r="J98" t="str">
            <v>001</v>
          </cell>
          <cell r="K98" t="str">
            <v>泊地区浄化センター</v>
          </cell>
          <cell r="M98" t="str">
            <v>1</v>
          </cell>
          <cell r="N98" t="str">
            <v>1</v>
          </cell>
          <cell r="Q98">
            <v>37712</v>
          </cell>
          <cell r="R98" t="str">
            <v>平成</v>
          </cell>
          <cell r="S98">
            <v>15</v>
          </cell>
          <cell r="T98">
            <v>4</v>
          </cell>
          <cell r="AB98">
            <v>4200</v>
          </cell>
          <cell r="AF98">
            <v>15</v>
          </cell>
          <cell r="AJ98" t="str">
            <v>糸泊川</v>
          </cell>
          <cell r="AQ98" t="str">
            <v/>
          </cell>
          <cell r="AR98" t="str">
            <v>オキシディションディッチ法</v>
          </cell>
          <cell r="AS98" t="str">
            <v>0140302001</v>
          </cell>
          <cell r="AT98" t="str">
            <v/>
          </cell>
          <cell r="AU98" t="str">
            <v>10</v>
          </cell>
          <cell r="AV98" t="str">
            <v>10</v>
          </cell>
          <cell r="AW98">
            <v>0</v>
          </cell>
          <cell r="AX98">
            <v>0</v>
          </cell>
          <cell r="AY98">
            <v>0</v>
          </cell>
          <cell r="AZ98">
            <v>0</v>
          </cell>
          <cell r="BA98">
            <v>0</v>
          </cell>
          <cell r="BD98" t="str">
            <v/>
          </cell>
          <cell r="BE98">
            <v>1</v>
          </cell>
          <cell r="BG98" t="str">
            <v>1100</v>
          </cell>
        </row>
        <row r="99">
          <cell r="B99" t="str">
            <v>G014030206100200</v>
          </cell>
          <cell r="C99" t="str">
            <v>01.北海道</v>
          </cell>
          <cell r="D99" t="str">
            <v>403</v>
          </cell>
          <cell r="E99" t="str">
            <v>泊村</v>
          </cell>
          <cell r="F99" t="str">
            <v>02</v>
          </cell>
          <cell r="G99" t="str">
            <v>特環 単独</v>
          </cell>
          <cell r="H99" t="str">
            <v>特定環境保全公共下水道</v>
          </cell>
          <cell r="I99" t="str">
            <v>単独</v>
          </cell>
          <cell r="J99" t="str">
            <v>002</v>
          </cell>
          <cell r="K99" t="str">
            <v>堀株地区浄化センター</v>
          </cell>
          <cell r="M99" t="str">
            <v>1</v>
          </cell>
          <cell r="N99" t="str">
            <v>1</v>
          </cell>
          <cell r="Q99">
            <v>38443</v>
          </cell>
          <cell r="R99" t="str">
            <v>平成</v>
          </cell>
          <cell r="S99">
            <v>17</v>
          </cell>
          <cell r="T99">
            <v>4</v>
          </cell>
          <cell r="AB99">
            <v>400</v>
          </cell>
          <cell r="AF99">
            <v>15</v>
          </cell>
          <cell r="AI99" t="str">
            <v>竜神川</v>
          </cell>
          <cell r="AQ99" t="str">
            <v/>
          </cell>
          <cell r="AR99" t="str">
            <v>長時間エアレーション法</v>
          </cell>
          <cell r="AS99" t="str">
            <v>0140302002</v>
          </cell>
          <cell r="AT99" t="str">
            <v/>
          </cell>
          <cell r="AU99" t="str">
            <v>10</v>
          </cell>
          <cell r="AV99" t="str">
            <v>10</v>
          </cell>
          <cell r="AW99">
            <v>0</v>
          </cell>
          <cell r="AX99">
            <v>0</v>
          </cell>
          <cell r="AY99">
            <v>0</v>
          </cell>
          <cell r="AZ99">
            <v>0</v>
          </cell>
          <cell r="BA99">
            <v>0</v>
          </cell>
          <cell r="BD99" t="str">
            <v/>
          </cell>
          <cell r="BE99">
            <v>1</v>
          </cell>
          <cell r="BG99" t="str">
            <v>1100</v>
          </cell>
        </row>
        <row r="100">
          <cell r="B100" t="str">
            <v>G014060106100100</v>
          </cell>
          <cell r="C100" t="str">
            <v>01.北海道</v>
          </cell>
          <cell r="D100" t="str">
            <v>406</v>
          </cell>
          <cell r="E100" t="str">
            <v>古平町</v>
          </cell>
          <cell r="F100" t="str">
            <v>01</v>
          </cell>
          <cell r="G100" t="str">
            <v>公共 単独</v>
          </cell>
          <cell r="H100" t="str">
            <v>公共下水道</v>
          </cell>
          <cell r="I100" t="str">
            <v>単独</v>
          </cell>
          <cell r="J100" t="str">
            <v>001</v>
          </cell>
          <cell r="K100" t="str">
            <v>古平町下水道管理センター</v>
          </cell>
          <cell r="M100" t="str">
            <v>1</v>
          </cell>
          <cell r="N100" t="str">
            <v>1</v>
          </cell>
          <cell r="Q100">
            <v>38047</v>
          </cell>
          <cell r="R100" t="str">
            <v>平成</v>
          </cell>
          <cell r="S100">
            <v>16</v>
          </cell>
          <cell r="T100">
            <v>3</v>
          </cell>
          <cell r="AB100">
            <v>11630</v>
          </cell>
          <cell r="AC100" t="str">
            <v>設定なし</v>
          </cell>
          <cell r="AJ100" t="str">
            <v>古平川</v>
          </cell>
          <cell r="AL100" t="str">
            <v>古平上水道取水口</v>
          </cell>
          <cell r="AM100">
            <v>8</v>
          </cell>
          <cell r="AO100" t="str">
            <v>古平町</v>
          </cell>
          <cell r="AQ100" t="str">
            <v/>
          </cell>
          <cell r="AR100" t="str">
            <v>オキシディションディッチ法</v>
          </cell>
          <cell r="AS100" t="str">
            <v>0140601001</v>
          </cell>
          <cell r="AT100" t="str">
            <v/>
          </cell>
          <cell r="AU100" t="str">
            <v>10</v>
          </cell>
          <cell r="AV100" t="str">
            <v>10</v>
          </cell>
          <cell r="AW100">
            <v>0</v>
          </cell>
          <cell r="AX100">
            <v>0</v>
          </cell>
          <cell r="AY100">
            <v>0</v>
          </cell>
          <cell r="AZ100">
            <v>0</v>
          </cell>
          <cell r="BA100">
            <v>0</v>
          </cell>
          <cell r="BD100" t="str">
            <v/>
          </cell>
          <cell r="BE100">
            <v>1</v>
          </cell>
          <cell r="BG100" t="str">
            <v>1100</v>
          </cell>
        </row>
        <row r="101">
          <cell r="B101" t="str">
            <v>G014080106100100</v>
          </cell>
          <cell r="C101" t="str">
            <v>01.北海道</v>
          </cell>
          <cell r="D101" t="str">
            <v>408</v>
          </cell>
          <cell r="E101" t="str">
            <v>余市町</v>
          </cell>
          <cell r="F101" t="str">
            <v>01</v>
          </cell>
          <cell r="G101" t="str">
            <v>公共 単独</v>
          </cell>
          <cell r="H101" t="str">
            <v>公共下水道</v>
          </cell>
          <cell r="I101" t="str">
            <v>単独</v>
          </cell>
          <cell r="J101" t="str">
            <v>001</v>
          </cell>
          <cell r="K101" t="str">
            <v>余市下水処理場</v>
          </cell>
          <cell r="M101" t="str">
            <v>1</v>
          </cell>
          <cell r="N101" t="str">
            <v>1</v>
          </cell>
          <cell r="P101" t="str">
            <v>1</v>
          </cell>
          <cell r="Q101">
            <v>32782</v>
          </cell>
          <cell r="R101" t="str">
            <v>平成</v>
          </cell>
          <cell r="S101">
            <v>1</v>
          </cell>
          <cell r="T101">
            <v>10</v>
          </cell>
          <cell r="AB101">
            <v>35200</v>
          </cell>
          <cell r="AC101" t="str">
            <v>設定なし</v>
          </cell>
          <cell r="AF101">
            <v>15</v>
          </cell>
          <cell r="AJ101" t="str">
            <v>登川</v>
          </cell>
          <cell r="AQ101" t="str">
            <v/>
          </cell>
          <cell r="AR101" t="str">
            <v>標準活性汚泥法</v>
          </cell>
          <cell r="AS101" t="str">
            <v>0140801001</v>
          </cell>
          <cell r="AT101" t="str">
            <v/>
          </cell>
          <cell r="AU101" t="str">
            <v>10</v>
          </cell>
          <cell r="AV101" t="str">
            <v>10</v>
          </cell>
          <cell r="AW101">
            <v>1</v>
          </cell>
          <cell r="AX101">
            <v>0</v>
          </cell>
          <cell r="AY101">
            <v>0</v>
          </cell>
          <cell r="AZ101">
            <v>0</v>
          </cell>
          <cell r="BA101">
            <v>0</v>
          </cell>
          <cell r="BD101" t="str">
            <v/>
          </cell>
          <cell r="BE101">
            <v>1</v>
          </cell>
          <cell r="BG101" t="str">
            <v>1101</v>
          </cell>
        </row>
        <row r="102">
          <cell r="B102" t="str">
            <v>G014090206100100</v>
          </cell>
          <cell r="C102" t="str">
            <v>01.北海道</v>
          </cell>
          <cell r="D102" t="str">
            <v>409</v>
          </cell>
          <cell r="E102" t="str">
            <v>赤井川村</v>
          </cell>
          <cell r="F102" t="str">
            <v>02</v>
          </cell>
          <cell r="G102" t="str">
            <v>特環 単独</v>
          </cell>
          <cell r="H102" t="str">
            <v>特定環境保全公共下水道</v>
          </cell>
          <cell r="I102" t="str">
            <v>単独</v>
          </cell>
          <cell r="J102" t="str">
            <v>001</v>
          </cell>
          <cell r="K102" t="str">
            <v>あかいがわアクアクリーンセンター</v>
          </cell>
          <cell r="M102" t="str">
            <v>1</v>
          </cell>
          <cell r="N102" t="str">
            <v>1</v>
          </cell>
          <cell r="Q102">
            <v>36861</v>
          </cell>
          <cell r="R102" t="str">
            <v>平成</v>
          </cell>
          <cell r="S102">
            <v>12</v>
          </cell>
          <cell r="T102">
            <v>12</v>
          </cell>
          <cell r="AB102">
            <v>5146</v>
          </cell>
          <cell r="AC102" t="str">
            <v>余市川</v>
          </cell>
          <cell r="AD102" t="str">
            <v>ＡＡ</v>
          </cell>
          <cell r="AE102" t="str">
            <v>イ</v>
          </cell>
          <cell r="AF102">
            <v>15</v>
          </cell>
          <cell r="AI102" t="str">
            <v>池田川</v>
          </cell>
          <cell r="AJ102" t="str">
            <v>余市川</v>
          </cell>
          <cell r="AL102" t="str">
            <v>余市町上水道</v>
          </cell>
          <cell r="AN102">
            <v>20</v>
          </cell>
          <cell r="AO102" t="str">
            <v>余市町</v>
          </cell>
          <cell r="AQ102" t="str">
            <v/>
          </cell>
          <cell r="AR102" t="str">
            <v>オキシディションディッチ法</v>
          </cell>
          <cell r="AS102" t="str">
            <v>0140902001</v>
          </cell>
          <cell r="AT102" t="str">
            <v/>
          </cell>
          <cell r="AU102" t="str">
            <v>10</v>
          </cell>
          <cell r="AV102" t="str">
            <v>10</v>
          </cell>
          <cell r="AW102">
            <v>0</v>
          </cell>
          <cell r="AX102">
            <v>0</v>
          </cell>
          <cell r="AY102">
            <v>0</v>
          </cell>
          <cell r="AZ102">
            <v>0</v>
          </cell>
          <cell r="BA102">
            <v>0</v>
          </cell>
          <cell r="BD102" t="str">
            <v/>
          </cell>
          <cell r="BE102">
            <v>1</v>
          </cell>
          <cell r="BG102" t="str">
            <v>1100</v>
          </cell>
        </row>
        <row r="103">
          <cell r="B103" t="str">
            <v>G014280106100100</v>
          </cell>
          <cell r="C103" t="str">
            <v>01.北海道</v>
          </cell>
          <cell r="D103" t="str">
            <v>428</v>
          </cell>
          <cell r="E103" t="str">
            <v>長沼町</v>
          </cell>
          <cell r="F103" t="str">
            <v>01</v>
          </cell>
          <cell r="G103" t="str">
            <v>公共 単独</v>
          </cell>
          <cell r="H103" t="str">
            <v>公共下水道</v>
          </cell>
          <cell r="I103" t="str">
            <v>単独</v>
          </cell>
          <cell r="J103" t="str">
            <v>001</v>
          </cell>
          <cell r="K103" t="str">
            <v>長沼町浄化センター</v>
          </cell>
          <cell r="M103" t="str">
            <v>1</v>
          </cell>
          <cell r="N103" t="str">
            <v>1</v>
          </cell>
          <cell r="Q103">
            <v>32782</v>
          </cell>
          <cell r="R103" t="str">
            <v>平成</v>
          </cell>
          <cell r="S103">
            <v>1</v>
          </cell>
          <cell r="T103">
            <v>10</v>
          </cell>
          <cell r="AB103">
            <v>14839</v>
          </cell>
          <cell r="AF103">
            <v>15</v>
          </cell>
          <cell r="AK103" t="str">
            <v>石狩川水系馬追運河</v>
          </cell>
          <cell r="AL103" t="str">
            <v>上江別浄水場</v>
          </cell>
          <cell r="AN103">
            <v>16</v>
          </cell>
          <cell r="AO103" t="str">
            <v>江別市</v>
          </cell>
          <cell r="AQ103" t="str">
            <v/>
          </cell>
          <cell r="AR103" t="str">
            <v>オキシディションディッチ法</v>
          </cell>
          <cell r="AS103" t="str">
            <v>0142801001</v>
          </cell>
          <cell r="AT103" t="str">
            <v/>
          </cell>
          <cell r="AU103" t="str">
            <v>10</v>
          </cell>
          <cell r="AV103" t="str">
            <v>10</v>
          </cell>
          <cell r="AW103">
            <v>0</v>
          </cell>
          <cell r="AX103">
            <v>0</v>
          </cell>
          <cell r="AY103">
            <v>0</v>
          </cell>
          <cell r="AZ103">
            <v>0</v>
          </cell>
          <cell r="BA103">
            <v>0</v>
          </cell>
          <cell r="BD103" t="str">
            <v/>
          </cell>
          <cell r="BE103">
            <v>1</v>
          </cell>
          <cell r="BG103" t="str">
            <v>1100</v>
          </cell>
        </row>
        <row r="104">
          <cell r="B104" t="str">
            <v>G014290106100100</v>
          </cell>
          <cell r="C104" t="str">
            <v>01.北海道</v>
          </cell>
          <cell r="D104" t="str">
            <v>429</v>
          </cell>
          <cell r="E104" t="str">
            <v>栗山町</v>
          </cell>
          <cell r="F104" t="str">
            <v>01</v>
          </cell>
          <cell r="G104" t="str">
            <v>公共 単独</v>
          </cell>
          <cell r="H104" t="str">
            <v>公共下水道</v>
          </cell>
          <cell r="I104" t="str">
            <v>単独</v>
          </cell>
          <cell r="J104" t="str">
            <v>001</v>
          </cell>
          <cell r="K104" t="str">
            <v>栗山下水道管理センター</v>
          </cell>
          <cell r="M104" t="str">
            <v>1</v>
          </cell>
          <cell r="N104" t="str">
            <v>1</v>
          </cell>
          <cell r="Q104">
            <v>32964</v>
          </cell>
          <cell r="R104" t="str">
            <v>平成</v>
          </cell>
          <cell r="S104">
            <v>2</v>
          </cell>
          <cell r="T104">
            <v>4</v>
          </cell>
          <cell r="AB104">
            <v>35800</v>
          </cell>
          <cell r="AC104" t="str">
            <v>夕張川下流</v>
          </cell>
          <cell r="AD104" t="str">
            <v>Ｂ</v>
          </cell>
          <cell r="AE104" t="str">
            <v>イ</v>
          </cell>
          <cell r="AK104" t="str">
            <v>夕張川</v>
          </cell>
          <cell r="AQ104" t="str">
            <v/>
          </cell>
          <cell r="AR104" t="str">
            <v>オキシディションディッチ法</v>
          </cell>
          <cell r="AS104" t="str">
            <v>0142901001</v>
          </cell>
          <cell r="AT104" t="str">
            <v/>
          </cell>
          <cell r="AU104" t="str">
            <v>10</v>
          </cell>
          <cell r="AV104" t="str">
            <v>10</v>
          </cell>
          <cell r="AW104">
            <v>0</v>
          </cell>
          <cell r="AX104">
            <v>0</v>
          </cell>
          <cell r="AY104">
            <v>0</v>
          </cell>
          <cell r="AZ104">
            <v>0</v>
          </cell>
          <cell r="BA104">
            <v>0</v>
          </cell>
          <cell r="BD104" t="str">
            <v/>
          </cell>
          <cell r="BE104">
            <v>1</v>
          </cell>
          <cell r="BG104" t="str">
            <v>1100</v>
          </cell>
        </row>
        <row r="105">
          <cell r="B105" t="str">
            <v>G014380206100100</v>
          </cell>
          <cell r="C105" t="str">
            <v>01.北海道</v>
          </cell>
          <cell r="D105" t="str">
            <v>438</v>
          </cell>
          <cell r="E105" t="str">
            <v>沼田町</v>
          </cell>
          <cell r="F105" t="str">
            <v>02</v>
          </cell>
          <cell r="G105" t="str">
            <v>特環 単独</v>
          </cell>
          <cell r="H105" t="str">
            <v>特定環境保全公共下水道</v>
          </cell>
          <cell r="I105" t="str">
            <v>単独</v>
          </cell>
          <cell r="J105" t="str">
            <v>001</v>
          </cell>
          <cell r="K105" t="str">
            <v>沼田浄化センター</v>
          </cell>
          <cell r="M105" t="str">
            <v>1</v>
          </cell>
          <cell r="N105" t="str">
            <v>1</v>
          </cell>
          <cell r="Q105">
            <v>32964</v>
          </cell>
          <cell r="R105" t="str">
            <v>平成</v>
          </cell>
          <cell r="S105">
            <v>2</v>
          </cell>
          <cell r="T105">
            <v>4</v>
          </cell>
          <cell r="AB105">
            <v>9661</v>
          </cell>
          <cell r="AC105" t="str">
            <v>雨竜川下流</v>
          </cell>
          <cell r="AD105" t="str">
            <v>Ｂ</v>
          </cell>
          <cell r="AE105" t="str">
            <v>イ</v>
          </cell>
          <cell r="AF105">
            <v>15</v>
          </cell>
          <cell r="AJ105" t="str">
            <v>雨竜川下流</v>
          </cell>
          <cell r="AQ105" t="str">
            <v/>
          </cell>
          <cell r="AR105" t="str">
            <v>オキシディションディッチ法</v>
          </cell>
          <cell r="AS105" t="str">
            <v>0143802001</v>
          </cell>
          <cell r="AT105" t="str">
            <v/>
          </cell>
          <cell r="AU105" t="str">
            <v>10</v>
          </cell>
          <cell r="AV105" t="str">
            <v>10</v>
          </cell>
          <cell r="AW105">
            <v>0</v>
          </cell>
          <cell r="AX105">
            <v>0</v>
          </cell>
          <cell r="AY105">
            <v>0</v>
          </cell>
          <cell r="AZ105">
            <v>0</v>
          </cell>
          <cell r="BA105">
            <v>0</v>
          </cell>
          <cell r="BD105" t="str">
            <v/>
          </cell>
          <cell r="BE105">
            <v>1</v>
          </cell>
          <cell r="BG105" t="str">
            <v>1100</v>
          </cell>
        </row>
        <row r="106">
          <cell r="B106" t="str">
            <v>G014560206100100</v>
          </cell>
          <cell r="C106" t="str">
            <v>01.北海道</v>
          </cell>
          <cell r="D106" t="str">
            <v>456</v>
          </cell>
          <cell r="E106" t="str">
            <v>愛別町</v>
          </cell>
          <cell r="F106" t="str">
            <v>02</v>
          </cell>
          <cell r="G106" t="str">
            <v>特環 単独</v>
          </cell>
          <cell r="H106" t="str">
            <v>特定環境保全公共下水道</v>
          </cell>
          <cell r="I106" t="str">
            <v>単独</v>
          </cell>
          <cell r="J106" t="str">
            <v>001</v>
          </cell>
          <cell r="K106" t="str">
            <v>愛別下水道管理センター</v>
          </cell>
          <cell r="M106" t="str">
            <v>1</v>
          </cell>
          <cell r="N106" t="str">
            <v>1</v>
          </cell>
          <cell r="Q106">
            <v>33117</v>
          </cell>
          <cell r="R106" t="str">
            <v>平成</v>
          </cell>
          <cell r="S106">
            <v>2</v>
          </cell>
          <cell r="T106">
            <v>9</v>
          </cell>
          <cell r="AB106">
            <v>13413</v>
          </cell>
          <cell r="AC106" t="str">
            <v>石狩川水系愛別川</v>
          </cell>
          <cell r="AD106" t="str">
            <v>Ａ</v>
          </cell>
          <cell r="AE106" t="str">
            <v>イ</v>
          </cell>
          <cell r="AF106">
            <v>15</v>
          </cell>
          <cell r="AK106" t="str">
            <v>愛別川</v>
          </cell>
          <cell r="AL106" t="str">
            <v>比布町取水口</v>
          </cell>
          <cell r="AN106">
            <v>3.2</v>
          </cell>
          <cell r="AO106" t="str">
            <v>比布町</v>
          </cell>
          <cell r="AQ106" t="str">
            <v/>
          </cell>
          <cell r="AR106" t="str">
            <v>オキシディションディッチ法</v>
          </cell>
          <cell r="AS106" t="str">
            <v>0145602001</v>
          </cell>
          <cell r="AT106" t="str">
            <v/>
          </cell>
          <cell r="AU106" t="str">
            <v>10</v>
          </cell>
          <cell r="AV106" t="str">
            <v>10</v>
          </cell>
          <cell r="AW106">
            <v>0</v>
          </cell>
          <cell r="AX106">
            <v>0</v>
          </cell>
          <cell r="AY106">
            <v>0</v>
          </cell>
          <cell r="AZ106">
            <v>0</v>
          </cell>
          <cell r="BA106">
            <v>0</v>
          </cell>
          <cell r="BD106" t="str">
            <v/>
          </cell>
          <cell r="BE106">
            <v>1</v>
          </cell>
          <cell r="BG106" t="str">
            <v>1100</v>
          </cell>
        </row>
        <row r="107">
          <cell r="B107" t="str">
            <v>G014570106100100</v>
          </cell>
          <cell r="C107" t="str">
            <v>01.北海道</v>
          </cell>
          <cell r="D107" t="str">
            <v>457</v>
          </cell>
          <cell r="E107" t="str">
            <v>上川町</v>
          </cell>
          <cell r="F107" t="str">
            <v>01</v>
          </cell>
          <cell r="G107" t="str">
            <v>公共 単独</v>
          </cell>
          <cell r="H107" t="str">
            <v>公共下水道</v>
          </cell>
          <cell r="I107" t="str">
            <v>単独</v>
          </cell>
          <cell r="J107" t="str">
            <v>001</v>
          </cell>
          <cell r="K107" t="str">
            <v>上川下水終末処理場</v>
          </cell>
          <cell r="M107" t="str">
            <v>1</v>
          </cell>
          <cell r="N107" t="str">
            <v>1</v>
          </cell>
          <cell r="Q107">
            <v>35339</v>
          </cell>
          <cell r="R107" t="str">
            <v>平成</v>
          </cell>
          <cell r="S107">
            <v>8</v>
          </cell>
          <cell r="T107">
            <v>10</v>
          </cell>
          <cell r="AB107">
            <v>9874</v>
          </cell>
          <cell r="AC107" t="str">
            <v>石狩川</v>
          </cell>
          <cell r="AD107" t="str">
            <v>ＡＡ</v>
          </cell>
          <cell r="AI107" t="str">
            <v>32線川</v>
          </cell>
          <cell r="AK107" t="str">
            <v>石狩川</v>
          </cell>
          <cell r="AL107" t="str">
            <v>愛別町集水埋管</v>
          </cell>
          <cell r="AN107">
            <v>13</v>
          </cell>
          <cell r="AO107" t="str">
            <v>愛別町</v>
          </cell>
          <cell r="AQ107" t="str">
            <v/>
          </cell>
          <cell r="AR107" t="str">
            <v>オキシディションディッチ法</v>
          </cell>
          <cell r="AS107" t="str">
            <v>0145701001</v>
          </cell>
          <cell r="AT107" t="str">
            <v/>
          </cell>
          <cell r="AU107" t="str">
            <v>10</v>
          </cell>
          <cell r="AV107" t="str">
            <v>10</v>
          </cell>
          <cell r="AW107">
            <v>0</v>
          </cell>
          <cell r="AX107">
            <v>0</v>
          </cell>
          <cell r="AY107">
            <v>0</v>
          </cell>
          <cell r="AZ107">
            <v>0</v>
          </cell>
          <cell r="BA107">
            <v>0</v>
          </cell>
          <cell r="BD107" t="str">
            <v/>
          </cell>
          <cell r="BE107">
            <v>1</v>
          </cell>
          <cell r="BG107" t="str">
            <v>1100</v>
          </cell>
        </row>
        <row r="108">
          <cell r="B108" t="str">
            <v>G014570206100200</v>
          </cell>
          <cell r="C108" t="str">
            <v>01.北海道</v>
          </cell>
          <cell r="D108" t="str">
            <v>457</v>
          </cell>
          <cell r="E108" t="str">
            <v>上川町</v>
          </cell>
          <cell r="F108" t="str">
            <v>02</v>
          </cell>
          <cell r="G108" t="str">
            <v>特環 単独</v>
          </cell>
          <cell r="H108" t="str">
            <v>特定環境保全公共下水道</v>
          </cell>
          <cell r="I108" t="str">
            <v>単独</v>
          </cell>
          <cell r="J108" t="str">
            <v>002</v>
          </cell>
          <cell r="K108" t="str">
            <v>層雲峡終末処理場</v>
          </cell>
          <cell r="M108" t="str">
            <v>1</v>
          </cell>
          <cell r="N108" t="str">
            <v>1</v>
          </cell>
          <cell r="Q108">
            <v>32387</v>
          </cell>
          <cell r="R108" t="str">
            <v>昭和</v>
          </cell>
          <cell r="S108">
            <v>63</v>
          </cell>
          <cell r="T108">
            <v>9</v>
          </cell>
          <cell r="AB108">
            <v>6414</v>
          </cell>
          <cell r="AC108" t="str">
            <v>石狩川</v>
          </cell>
          <cell r="AD108" t="str">
            <v>ＡＡ</v>
          </cell>
          <cell r="AE108" t="str">
            <v>イ</v>
          </cell>
          <cell r="AF108">
            <v>15</v>
          </cell>
          <cell r="AK108" t="str">
            <v>石狩川</v>
          </cell>
          <cell r="AL108" t="str">
            <v>愛別町集水埋管</v>
          </cell>
          <cell r="AN108">
            <v>35</v>
          </cell>
          <cell r="AO108" t="str">
            <v>愛別町</v>
          </cell>
          <cell r="AQ108" t="str">
            <v/>
          </cell>
          <cell r="AR108" t="str">
            <v>オキシディションディッチ法</v>
          </cell>
          <cell r="AS108" t="str">
            <v>0145702002</v>
          </cell>
          <cell r="AT108" t="str">
            <v/>
          </cell>
          <cell r="AU108" t="str">
            <v>10</v>
          </cell>
          <cell r="AV108" t="str">
            <v>10</v>
          </cell>
          <cell r="AW108">
            <v>0</v>
          </cell>
          <cell r="AX108">
            <v>0</v>
          </cell>
          <cell r="AY108">
            <v>0</v>
          </cell>
          <cell r="AZ108">
            <v>0</v>
          </cell>
          <cell r="BA108">
            <v>0</v>
          </cell>
          <cell r="BD108" t="str">
            <v/>
          </cell>
          <cell r="BE108">
            <v>1</v>
          </cell>
          <cell r="BG108" t="str">
            <v>1100</v>
          </cell>
        </row>
        <row r="109">
          <cell r="B109" t="str">
            <v>G014580206100100</v>
          </cell>
          <cell r="C109" t="str">
            <v>01.北海道</v>
          </cell>
          <cell r="D109" t="str">
            <v>458</v>
          </cell>
          <cell r="E109" t="str">
            <v>東川町</v>
          </cell>
          <cell r="F109" t="str">
            <v>02</v>
          </cell>
          <cell r="G109" t="str">
            <v>特環 単独</v>
          </cell>
          <cell r="H109" t="str">
            <v>特定環境保全公共下水道</v>
          </cell>
          <cell r="I109" t="str">
            <v>単独</v>
          </cell>
          <cell r="J109" t="str">
            <v>001</v>
          </cell>
          <cell r="K109" t="str">
            <v>旭岳温泉ピュアセンター</v>
          </cell>
          <cell r="M109" t="str">
            <v>1</v>
          </cell>
          <cell r="N109" t="str">
            <v>1</v>
          </cell>
          <cell r="Q109">
            <v>35339</v>
          </cell>
          <cell r="R109" t="str">
            <v>平成</v>
          </cell>
          <cell r="S109">
            <v>8</v>
          </cell>
          <cell r="T109">
            <v>10</v>
          </cell>
          <cell r="AB109">
            <v>2900</v>
          </cell>
          <cell r="AC109" t="str">
            <v>石狩川</v>
          </cell>
          <cell r="AD109" t="str">
            <v>Ａ</v>
          </cell>
          <cell r="AE109" t="str">
            <v>イ</v>
          </cell>
          <cell r="AF109">
            <v>15</v>
          </cell>
          <cell r="AI109" t="str">
            <v>勇駒別川</v>
          </cell>
          <cell r="AK109" t="str">
            <v>忠別川</v>
          </cell>
          <cell r="AL109" t="str">
            <v>旭川市忠別川浄水場</v>
          </cell>
          <cell r="AN109">
            <v>40</v>
          </cell>
          <cell r="AO109" t="str">
            <v>旭川市</v>
          </cell>
          <cell r="AQ109" t="str">
            <v/>
          </cell>
          <cell r="AR109" t="str">
            <v>オキシディションディッチ法</v>
          </cell>
          <cell r="AS109" t="str">
            <v>0145802001</v>
          </cell>
          <cell r="AT109" t="str">
            <v/>
          </cell>
          <cell r="AU109" t="str">
            <v>10</v>
          </cell>
          <cell r="AV109" t="str">
            <v>10</v>
          </cell>
          <cell r="AW109">
            <v>0</v>
          </cell>
          <cell r="AX109">
            <v>0</v>
          </cell>
          <cell r="AY109">
            <v>0</v>
          </cell>
          <cell r="AZ109">
            <v>0</v>
          </cell>
          <cell r="BA109">
            <v>0</v>
          </cell>
          <cell r="BD109" t="str">
            <v/>
          </cell>
          <cell r="BE109">
            <v>1</v>
          </cell>
          <cell r="BG109" t="str">
            <v>1100</v>
          </cell>
        </row>
        <row r="110">
          <cell r="B110" t="str">
            <v>G014590106100100</v>
          </cell>
          <cell r="C110" t="str">
            <v>01.北海道</v>
          </cell>
          <cell r="D110" t="str">
            <v>459</v>
          </cell>
          <cell r="E110" t="str">
            <v>美瑛町</v>
          </cell>
          <cell r="F110" t="str">
            <v>01</v>
          </cell>
          <cell r="G110" t="str">
            <v>公共 単独</v>
          </cell>
          <cell r="H110" t="str">
            <v>公共下水道</v>
          </cell>
          <cell r="I110" t="str">
            <v>単独</v>
          </cell>
          <cell r="J110" t="str">
            <v>001</v>
          </cell>
          <cell r="K110" t="str">
            <v>美瑛下水処理場</v>
          </cell>
          <cell r="M110" t="str">
            <v>1</v>
          </cell>
          <cell r="N110" t="str">
            <v>1</v>
          </cell>
          <cell r="Q110">
            <v>31656</v>
          </cell>
          <cell r="R110" t="str">
            <v>昭和</v>
          </cell>
          <cell r="S110">
            <v>61</v>
          </cell>
          <cell r="T110">
            <v>9</v>
          </cell>
          <cell r="AB110">
            <v>18600</v>
          </cell>
          <cell r="AF110">
            <v>15</v>
          </cell>
          <cell r="AK110" t="str">
            <v>置杵牛川</v>
          </cell>
          <cell r="AQ110" t="str">
            <v/>
          </cell>
          <cell r="AR110" t="str">
            <v>オキシディションディッチ法</v>
          </cell>
          <cell r="AS110" t="str">
            <v>0145901001</v>
          </cell>
          <cell r="AT110" t="str">
            <v/>
          </cell>
          <cell r="AU110" t="str">
            <v>10</v>
          </cell>
          <cell r="AV110" t="str">
            <v>10</v>
          </cell>
          <cell r="AW110">
            <v>0</v>
          </cell>
          <cell r="AX110">
            <v>0</v>
          </cell>
          <cell r="AY110">
            <v>0</v>
          </cell>
          <cell r="AZ110">
            <v>0</v>
          </cell>
          <cell r="BA110">
            <v>0</v>
          </cell>
          <cell r="BD110" t="str">
            <v/>
          </cell>
          <cell r="BE110">
            <v>1</v>
          </cell>
          <cell r="BG110" t="str">
            <v>1100</v>
          </cell>
        </row>
        <row r="111">
          <cell r="B111" t="str">
            <v>G014600106100100</v>
          </cell>
          <cell r="C111" t="str">
            <v>01.北海道</v>
          </cell>
          <cell r="D111" t="str">
            <v>460</v>
          </cell>
          <cell r="E111" t="str">
            <v>上富良野町</v>
          </cell>
          <cell r="F111" t="str">
            <v>01</v>
          </cell>
          <cell r="G111" t="str">
            <v>公共 単独</v>
          </cell>
          <cell r="H111" t="str">
            <v>公共下水道</v>
          </cell>
          <cell r="I111" t="str">
            <v>単独</v>
          </cell>
          <cell r="J111" t="str">
            <v>001</v>
          </cell>
          <cell r="K111" t="str">
            <v>上富良野浄化センター</v>
          </cell>
          <cell r="M111" t="str">
            <v>1</v>
          </cell>
          <cell r="N111" t="str">
            <v>1</v>
          </cell>
          <cell r="O111" t="str">
            <v>1</v>
          </cell>
          <cell r="Q111">
            <v>33420</v>
          </cell>
          <cell r="R111" t="str">
            <v>平成</v>
          </cell>
          <cell r="S111">
            <v>3</v>
          </cell>
          <cell r="T111">
            <v>7</v>
          </cell>
          <cell r="AB111">
            <v>21654</v>
          </cell>
          <cell r="AC111" t="str">
            <v>空知川</v>
          </cell>
          <cell r="AD111" t="str">
            <v>Ａ</v>
          </cell>
          <cell r="AE111" t="str">
            <v>イ</v>
          </cell>
          <cell r="AF111">
            <v>15</v>
          </cell>
          <cell r="AG111">
            <v>20</v>
          </cell>
          <cell r="AH111">
            <v>3</v>
          </cell>
          <cell r="AI111" t="str">
            <v>富良野川</v>
          </cell>
          <cell r="AK111" t="str">
            <v>富良野川</v>
          </cell>
          <cell r="AN111">
            <v>40</v>
          </cell>
          <cell r="AO111" t="str">
            <v>芦別市</v>
          </cell>
          <cell r="AQ111" t="str">
            <v/>
          </cell>
          <cell r="AR111" t="str">
            <v>オキシディションディッチ法</v>
          </cell>
          <cell r="AS111" t="str">
            <v>0146001001</v>
          </cell>
          <cell r="AT111" t="str">
            <v/>
          </cell>
          <cell r="AU111" t="str">
            <v>11</v>
          </cell>
          <cell r="AV111" t="str">
            <v>11</v>
          </cell>
          <cell r="AW111">
            <v>0</v>
          </cell>
          <cell r="AX111">
            <v>0</v>
          </cell>
          <cell r="AY111">
            <v>0</v>
          </cell>
          <cell r="AZ111">
            <v>0</v>
          </cell>
          <cell r="BA111">
            <v>0</v>
          </cell>
          <cell r="BD111" t="str">
            <v/>
          </cell>
          <cell r="BE111">
            <v>1</v>
          </cell>
          <cell r="BG111" t="str">
            <v>1110</v>
          </cell>
        </row>
        <row r="112">
          <cell r="B112" t="str">
            <v>G014610206100100</v>
          </cell>
          <cell r="C112" t="str">
            <v>01.北海道</v>
          </cell>
          <cell r="D112" t="str">
            <v>461</v>
          </cell>
          <cell r="E112" t="str">
            <v>中富良野町</v>
          </cell>
          <cell r="F112" t="str">
            <v>02</v>
          </cell>
          <cell r="G112" t="str">
            <v>特環 単独</v>
          </cell>
          <cell r="H112" t="str">
            <v>特定環境保全公共下水道</v>
          </cell>
          <cell r="I112" t="str">
            <v>単独</v>
          </cell>
          <cell r="J112" t="str">
            <v>001</v>
          </cell>
          <cell r="K112" t="str">
            <v>中富良野クリーンセンター</v>
          </cell>
          <cell r="M112" t="str">
            <v>1</v>
          </cell>
          <cell r="N112" t="str">
            <v>1</v>
          </cell>
          <cell r="Q112">
            <v>36250</v>
          </cell>
          <cell r="R112" t="str">
            <v>平成</v>
          </cell>
          <cell r="S112">
            <v>11</v>
          </cell>
          <cell r="T112">
            <v>3</v>
          </cell>
          <cell r="AB112">
            <v>11792</v>
          </cell>
          <cell r="AF112">
            <v>15</v>
          </cell>
          <cell r="AK112" t="str">
            <v>富良野川</v>
          </cell>
          <cell r="AQ112" t="str">
            <v/>
          </cell>
          <cell r="AR112" t="str">
            <v>オキシディションディッチ法</v>
          </cell>
          <cell r="AS112" t="str">
            <v>0146102001</v>
          </cell>
          <cell r="AT112" t="str">
            <v/>
          </cell>
          <cell r="AU112" t="str">
            <v>10</v>
          </cell>
          <cell r="AV112" t="str">
            <v>10</v>
          </cell>
          <cell r="AW112">
            <v>0</v>
          </cell>
          <cell r="AX112">
            <v>0</v>
          </cell>
          <cell r="AY112">
            <v>0</v>
          </cell>
          <cell r="AZ112">
            <v>0</v>
          </cell>
          <cell r="BA112">
            <v>0</v>
          </cell>
          <cell r="BD112" t="str">
            <v/>
          </cell>
          <cell r="BE112">
            <v>1</v>
          </cell>
          <cell r="BG112" t="str">
            <v>1100</v>
          </cell>
        </row>
        <row r="113">
          <cell r="B113" t="str">
            <v>G014620206100100</v>
          </cell>
          <cell r="C113" t="str">
            <v>01.北海道</v>
          </cell>
          <cell r="D113" t="str">
            <v>462</v>
          </cell>
          <cell r="E113" t="str">
            <v>南富良野町</v>
          </cell>
          <cell r="F113" t="str">
            <v>02</v>
          </cell>
          <cell r="G113" t="str">
            <v>特環 単独</v>
          </cell>
          <cell r="H113" t="str">
            <v>特定環境保全公共下水道</v>
          </cell>
          <cell r="I113" t="str">
            <v>単独</v>
          </cell>
          <cell r="J113" t="str">
            <v>001</v>
          </cell>
          <cell r="K113" t="str">
            <v>南富良野浄化センター</v>
          </cell>
          <cell r="M113" t="str">
            <v>1</v>
          </cell>
          <cell r="N113" t="str">
            <v>1</v>
          </cell>
          <cell r="Q113">
            <v>36250</v>
          </cell>
          <cell r="R113" t="str">
            <v>平成</v>
          </cell>
          <cell r="S113">
            <v>11</v>
          </cell>
          <cell r="T113">
            <v>3</v>
          </cell>
          <cell r="AB113">
            <v>11300</v>
          </cell>
          <cell r="AC113" t="str">
            <v>空知川上流</v>
          </cell>
          <cell r="AD113" t="str">
            <v>ＡＡ</v>
          </cell>
          <cell r="AE113" t="str">
            <v>イ</v>
          </cell>
          <cell r="AF113">
            <v>15</v>
          </cell>
          <cell r="AI113" t="str">
            <v>松井川</v>
          </cell>
          <cell r="AJ113" t="str">
            <v>ユクトラシュベツ川</v>
          </cell>
          <cell r="AK113" t="str">
            <v>空知川</v>
          </cell>
          <cell r="AL113" t="str">
            <v>かなやま湖</v>
          </cell>
          <cell r="AN113">
            <v>7</v>
          </cell>
          <cell r="AO113" t="str">
            <v>南富良野町</v>
          </cell>
          <cell r="AQ113" t="str">
            <v/>
          </cell>
          <cell r="AR113" t="str">
            <v>オキシディションディッチ法</v>
          </cell>
          <cell r="AS113" t="str">
            <v>0146202001</v>
          </cell>
          <cell r="AT113" t="str">
            <v/>
          </cell>
          <cell r="AU113" t="str">
            <v>10</v>
          </cell>
          <cell r="AV113" t="str">
            <v>10</v>
          </cell>
          <cell r="AW113">
            <v>0</v>
          </cell>
          <cell r="AX113">
            <v>0</v>
          </cell>
          <cell r="AY113">
            <v>0</v>
          </cell>
          <cell r="AZ113">
            <v>0</v>
          </cell>
          <cell r="BA113">
            <v>0</v>
          </cell>
          <cell r="BD113" t="str">
            <v/>
          </cell>
          <cell r="BE113">
            <v>1</v>
          </cell>
          <cell r="BG113" t="str">
            <v>1100</v>
          </cell>
        </row>
        <row r="114">
          <cell r="B114" t="str">
            <v>G014630206100100</v>
          </cell>
          <cell r="C114" t="str">
            <v>01.北海道</v>
          </cell>
          <cell r="D114" t="str">
            <v>463</v>
          </cell>
          <cell r="E114" t="str">
            <v>占冠村</v>
          </cell>
          <cell r="F114" t="str">
            <v>02</v>
          </cell>
          <cell r="G114" t="str">
            <v>特環 単独</v>
          </cell>
          <cell r="H114" t="str">
            <v>特定環境保全公共下水道</v>
          </cell>
          <cell r="I114" t="str">
            <v>単独</v>
          </cell>
          <cell r="J114" t="str">
            <v>001</v>
          </cell>
          <cell r="K114" t="str">
            <v>中央浄化センター</v>
          </cell>
          <cell r="M114" t="str">
            <v>1</v>
          </cell>
          <cell r="Q114">
            <v>32994</v>
          </cell>
          <cell r="R114" t="str">
            <v>平成</v>
          </cell>
          <cell r="S114">
            <v>2</v>
          </cell>
          <cell r="T114">
            <v>5</v>
          </cell>
          <cell r="AB114">
            <v>1988</v>
          </cell>
          <cell r="AC114" t="str">
            <v>鵡川上流</v>
          </cell>
          <cell r="AD114" t="str">
            <v>ＡＡ</v>
          </cell>
          <cell r="AE114" t="str">
            <v>イ</v>
          </cell>
          <cell r="AF114">
            <v>15</v>
          </cell>
          <cell r="AK114" t="str">
            <v>双珠別川</v>
          </cell>
          <cell r="AQ114" t="str">
            <v/>
          </cell>
          <cell r="AR114" t="str">
            <v>土壌被覆型礫間接触法</v>
          </cell>
          <cell r="AS114" t="str">
            <v>0146302001</v>
          </cell>
          <cell r="AT114" t="str">
            <v/>
          </cell>
          <cell r="AU114" t="str">
            <v>00</v>
          </cell>
          <cell r="AV114" t="str">
            <v>00</v>
          </cell>
          <cell r="AW114">
            <v>0</v>
          </cell>
          <cell r="AX114">
            <v>0</v>
          </cell>
          <cell r="AY114">
            <v>0</v>
          </cell>
          <cell r="AZ114">
            <v>0</v>
          </cell>
          <cell r="BA114">
            <v>0</v>
          </cell>
          <cell r="BD114" t="str">
            <v/>
          </cell>
          <cell r="BE114">
            <v>1</v>
          </cell>
          <cell r="BG114" t="str">
            <v>1000</v>
          </cell>
        </row>
        <row r="115">
          <cell r="B115" t="str">
            <v>G014630206100200</v>
          </cell>
          <cell r="C115" t="str">
            <v>01.北海道</v>
          </cell>
          <cell r="D115" t="str">
            <v>463</v>
          </cell>
          <cell r="E115" t="str">
            <v>占冠村</v>
          </cell>
          <cell r="F115" t="str">
            <v>02</v>
          </cell>
          <cell r="G115" t="str">
            <v>特環 単独</v>
          </cell>
          <cell r="H115" t="str">
            <v>特定環境保全公共下水道</v>
          </cell>
          <cell r="I115" t="str">
            <v>単独</v>
          </cell>
          <cell r="J115" t="str">
            <v>002</v>
          </cell>
          <cell r="K115" t="str">
            <v>トマム浄化センター</v>
          </cell>
          <cell r="M115" t="str">
            <v>1</v>
          </cell>
          <cell r="Q115">
            <v>35612</v>
          </cell>
          <cell r="R115" t="str">
            <v>平成</v>
          </cell>
          <cell r="S115">
            <v>9</v>
          </cell>
          <cell r="T115">
            <v>7</v>
          </cell>
          <cell r="AB115">
            <v>4200</v>
          </cell>
          <cell r="AC115" t="str">
            <v>鵡川上流</v>
          </cell>
          <cell r="AD115" t="str">
            <v>ＡＡ</v>
          </cell>
          <cell r="AE115" t="str">
            <v>イ</v>
          </cell>
          <cell r="AF115">
            <v>15</v>
          </cell>
          <cell r="AK115" t="str">
            <v>鵡川</v>
          </cell>
          <cell r="AQ115" t="str">
            <v/>
          </cell>
          <cell r="AR115" t="str">
            <v>土壌被覆型礫間接触法</v>
          </cell>
          <cell r="AS115" t="str">
            <v>0146302002</v>
          </cell>
          <cell r="AT115" t="str">
            <v/>
          </cell>
          <cell r="AU115" t="str">
            <v>00</v>
          </cell>
          <cell r="AV115" t="str">
            <v>00</v>
          </cell>
          <cell r="AW115">
            <v>0</v>
          </cell>
          <cell r="AX115">
            <v>0</v>
          </cell>
          <cell r="AY115">
            <v>0</v>
          </cell>
          <cell r="AZ115">
            <v>0</v>
          </cell>
          <cell r="BA115">
            <v>0</v>
          </cell>
          <cell r="BD115" t="str">
            <v/>
          </cell>
          <cell r="BE115">
            <v>1</v>
          </cell>
          <cell r="BG115" t="str">
            <v>1000</v>
          </cell>
        </row>
        <row r="116">
          <cell r="B116" t="str">
            <v>G014640206100100</v>
          </cell>
          <cell r="C116" t="str">
            <v>01.北海道</v>
          </cell>
          <cell r="D116" t="str">
            <v>464</v>
          </cell>
          <cell r="E116" t="str">
            <v>和寒町</v>
          </cell>
          <cell r="F116" t="str">
            <v>02</v>
          </cell>
          <cell r="G116" t="str">
            <v>特環 単独</v>
          </cell>
          <cell r="H116" t="str">
            <v>特定環境保全公共下水道</v>
          </cell>
          <cell r="I116" t="str">
            <v>単独</v>
          </cell>
          <cell r="J116" t="str">
            <v>001</v>
          </cell>
          <cell r="K116" t="str">
            <v>和寒下水終末処理場</v>
          </cell>
          <cell r="M116" t="str">
            <v>1</v>
          </cell>
          <cell r="N116" t="str">
            <v>1</v>
          </cell>
          <cell r="P116" t="str">
            <v>1</v>
          </cell>
          <cell r="Q116">
            <v>32752</v>
          </cell>
          <cell r="R116" t="str">
            <v>平成</v>
          </cell>
          <cell r="S116">
            <v>1</v>
          </cell>
          <cell r="T116">
            <v>9</v>
          </cell>
          <cell r="AB116">
            <v>11500</v>
          </cell>
          <cell r="AC116" t="str">
            <v>天塩川下流</v>
          </cell>
          <cell r="AD116" t="str">
            <v>Ａ</v>
          </cell>
          <cell r="AE116" t="str">
            <v>ロ</v>
          </cell>
          <cell r="AF116">
            <v>15</v>
          </cell>
          <cell r="AK116" t="str">
            <v>剣淵川</v>
          </cell>
          <cell r="AN116">
            <v>5.3</v>
          </cell>
          <cell r="AO116" t="str">
            <v>和寒町</v>
          </cell>
          <cell r="AQ116" t="str">
            <v/>
          </cell>
          <cell r="AR116" t="str">
            <v>オキシディションディッチ法</v>
          </cell>
          <cell r="AS116" t="str">
            <v>0146402001</v>
          </cell>
          <cell r="AT116" t="str">
            <v/>
          </cell>
          <cell r="AU116" t="str">
            <v>10</v>
          </cell>
          <cell r="AV116" t="str">
            <v>10</v>
          </cell>
          <cell r="AW116">
            <v>1</v>
          </cell>
          <cell r="AX116">
            <v>0</v>
          </cell>
          <cell r="AY116">
            <v>0</v>
          </cell>
          <cell r="AZ116">
            <v>0</v>
          </cell>
          <cell r="BA116">
            <v>0</v>
          </cell>
          <cell r="BD116" t="str">
            <v/>
          </cell>
          <cell r="BE116">
            <v>1</v>
          </cell>
          <cell r="BG116" t="str">
            <v>1101</v>
          </cell>
        </row>
        <row r="117">
          <cell r="B117" t="str">
            <v>G014650206100100</v>
          </cell>
          <cell r="C117" t="str">
            <v>01.北海道</v>
          </cell>
          <cell r="D117" t="str">
            <v>465</v>
          </cell>
          <cell r="E117" t="str">
            <v>剣淵町</v>
          </cell>
          <cell r="F117" t="str">
            <v>02</v>
          </cell>
          <cell r="G117" t="str">
            <v>特環 単独</v>
          </cell>
          <cell r="H117" t="str">
            <v>特定環境保全公共下水道</v>
          </cell>
          <cell r="I117" t="str">
            <v>単独</v>
          </cell>
          <cell r="J117" t="str">
            <v>001</v>
          </cell>
          <cell r="K117" t="str">
            <v>剣淵浄化センター</v>
          </cell>
          <cell r="M117" t="str">
            <v>1</v>
          </cell>
          <cell r="N117" t="str">
            <v>1</v>
          </cell>
          <cell r="O117" t="str">
            <v>1</v>
          </cell>
          <cell r="Q117">
            <v>35521</v>
          </cell>
          <cell r="R117" t="str">
            <v>平成</v>
          </cell>
          <cell r="S117">
            <v>9</v>
          </cell>
          <cell r="T117">
            <v>4</v>
          </cell>
          <cell r="AB117">
            <v>4490</v>
          </cell>
          <cell r="AC117" t="str">
            <v>天塩川水域</v>
          </cell>
          <cell r="AD117" t="str">
            <v>Ａ</v>
          </cell>
          <cell r="AE117" t="str">
            <v>ロ</v>
          </cell>
          <cell r="AF117">
            <v>15</v>
          </cell>
          <cell r="AK117" t="str">
            <v>剣淵川</v>
          </cell>
          <cell r="AQ117" t="str">
            <v/>
          </cell>
          <cell r="AR117" t="str">
            <v>オキシディションディッチ法</v>
          </cell>
          <cell r="AS117" t="str">
            <v>0146502001</v>
          </cell>
          <cell r="AT117" t="str">
            <v/>
          </cell>
          <cell r="AU117" t="str">
            <v>11</v>
          </cell>
          <cell r="AV117" t="str">
            <v>11</v>
          </cell>
          <cell r="AW117">
            <v>0</v>
          </cell>
          <cell r="AX117">
            <v>0</v>
          </cell>
          <cell r="AY117">
            <v>0</v>
          </cell>
          <cell r="AZ117">
            <v>0</v>
          </cell>
          <cell r="BA117">
            <v>0</v>
          </cell>
          <cell r="BD117" t="str">
            <v/>
          </cell>
          <cell r="BE117">
            <v>1</v>
          </cell>
          <cell r="BG117" t="str">
            <v>1110</v>
          </cell>
        </row>
        <row r="118">
          <cell r="B118" t="str">
            <v>G014680106100100</v>
          </cell>
          <cell r="C118" t="str">
            <v>01.北海道</v>
          </cell>
          <cell r="D118" t="str">
            <v>468</v>
          </cell>
          <cell r="E118" t="str">
            <v>下川町</v>
          </cell>
          <cell r="F118" t="str">
            <v>01</v>
          </cell>
          <cell r="G118" t="str">
            <v>公共 単独</v>
          </cell>
          <cell r="H118" t="str">
            <v>公共下水道</v>
          </cell>
          <cell r="I118" t="str">
            <v>単独</v>
          </cell>
          <cell r="J118" t="str">
            <v>001</v>
          </cell>
          <cell r="K118" t="str">
            <v>下川浄化センター</v>
          </cell>
          <cell r="M118" t="str">
            <v>1</v>
          </cell>
          <cell r="N118" t="str">
            <v>1</v>
          </cell>
          <cell r="Q118">
            <v>35339</v>
          </cell>
          <cell r="R118" t="str">
            <v>平成</v>
          </cell>
          <cell r="S118">
            <v>8</v>
          </cell>
          <cell r="T118">
            <v>10</v>
          </cell>
          <cell r="AB118">
            <v>12989</v>
          </cell>
          <cell r="AC118" t="str">
            <v>天塩川</v>
          </cell>
          <cell r="AD118" t="str">
            <v>Ａ</v>
          </cell>
          <cell r="AE118" t="str">
            <v>イ</v>
          </cell>
          <cell r="AF118">
            <v>15</v>
          </cell>
          <cell r="AK118" t="str">
            <v>名寄川</v>
          </cell>
          <cell r="AL118" t="str">
            <v>下川取水口</v>
          </cell>
          <cell r="AM118">
            <v>0.3</v>
          </cell>
          <cell r="AO118" t="str">
            <v>下川町</v>
          </cell>
          <cell r="AQ118" t="str">
            <v/>
          </cell>
          <cell r="AR118" t="str">
            <v>オキシディションディッチ法</v>
          </cell>
          <cell r="AS118" t="str">
            <v>0146801001</v>
          </cell>
          <cell r="AT118" t="str">
            <v/>
          </cell>
          <cell r="AU118" t="str">
            <v>10</v>
          </cell>
          <cell r="AV118" t="str">
            <v>10</v>
          </cell>
          <cell r="AW118">
            <v>0</v>
          </cell>
          <cell r="AX118">
            <v>0</v>
          </cell>
          <cell r="AY118">
            <v>0</v>
          </cell>
          <cell r="AZ118">
            <v>0</v>
          </cell>
          <cell r="BA118">
            <v>0</v>
          </cell>
          <cell r="BD118" t="str">
            <v/>
          </cell>
          <cell r="BE118">
            <v>1</v>
          </cell>
          <cell r="BG118" t="str">
            <v>1100</v>
          </cell>
        </row>
        <row r="119">
          <cell r="B119" t="str">
            <v>G014690106100100</v>
          </cell>
          <cell r="C119" t="str">
            <v>01.北海道</v>
          </cell>
          <cell r="D119" t="str">
            <v>469</v>
          </cell>
          <cell r="E119" t="str">
            <v>美深町</v>
          </cell>
          <cell r="F119" t="str">
            <v>01</v>
          </cell>
          <cell r="G119" t="str">
            <v>公共 単独</v>
          </cell>
          <cell r="H119" t="str">
            <v>公共下水道</v>
          </cell>
          <cell r="I119" t="str">
            <v>単独</v>
          </cell>
          <cell r="J119" t="str">
            <v>001</v>
          </cell>
          <cell r="K119" t="str">
            <v>美深町浄水管理センター</v>
          </cell>
          <cell r="M119" t="str">
            <v>1</v>
          </cell>
          <cell r="N119" t="str">
            <v>1</v>
          </cell>
          <cell r="Q119">
            <v>34394</v>
          </cell>
          <cell r="R119" t="str">
            <v>平成</v>
          </cell>
          <cell r="S119">
            <v>6</v>
          </cell>
          <cell r="T119">
            <v>3</v>
          </cell>
          <cell r="AB119">
            <v>14778</v>
          </cell>
          <cell r="AC119" t="str">
            <v>天塩川</v>
          </cell>
          <cell r="AD119" t="str">
            <v>Ｂ</v>
          </cell>
          <cell r="AE119" t="str">
            <v>ロ</v>
          </cell>
          <cell r="AF119">
            <v>15</v>
          </cell>
          <cell r="AI119" t="str">
            <v>9線川</v>
          </cell>
          <cell r="AK119" t="str">
            <v>天塩川</v>
          </cell>
          <cell r="AL119" t="str">
            <v>なし</v>
          </cell>
          <cell r="AQ119" t="str">
            <v/>
          </cell>
          <cell r="AR119" t="str">
            <v>オキシディションディッチ法</v>
          </cell>
          <cell r="AS119" t="str">
            <v>0146901001</v>
          </cell>
          <cell r="AT119" t="str">
            <v/>
          </cell>
          <cell r="AU119" t="str">
            <v>10</v>
          </cell>
          <cell r="AV119" t="str">
            <v>10</v>
          </cell>
          <cell r="AW119">
            <v>0</v>
          </cell>
          <cell r="AX119">
            <v>0</v>
          </cell>
          <cell r="AY119">
            <v>0</v>
          </cell>
          <cell r="AZ119">
            <v>0</v>
          </cell>
          <cell r="BA119">
            <v>0</v>
          </cell>
          <cell r="BD119" t="str">
            <v/>
          </cell>
          <cell r="BE119">
            <v>1</v>
          </cell>
          <cell r="BG119" t="str">
            <v>1100</v>
          </cell>
        </row>
        <row r="120">
          <cell r="B120" t="str">
            <v>G014810106100100</v>
          </cell>
          <cell r="C120" t="str">
            <v>01.北海道</v>
          </cell>
          <cell r="D120" t="str">
            <v>481</v>
          </cell>
          <cell r="E120" t="str">
            <v>増毛町</v>
          </cell>
          <cell r="F120" t="str">
            <v>01</v>
          </cell>
          <cell r="G120" t="str">
            <v>公共 単独</v>
          </cell>
          <cell r="H120" t="str">
            <v>公共下水道</v>
          </cell>
          <cell r="I120" t="str">
            <v>単独</v>
          </cell>
          <cell r="J120" t="str">
            <v>001</v>
          </cell>
          <cell r="K120" t="str">
            <v>増毛町下水道管理センター</v>
          </cell>
          <cell r="M120" t="str">
            <v>1</v>
          </cell>
          <cell r="N120" t="str">
            <v>1</v>
          </cell>
          <cell r="Q120">
            <v>36616</v>
          </cell>
          <cell r="R120" t="str">
            <v>平成</v>
          </cell>
          <cell r="S120">
            <v>12</v>
          </cell>
          <cell r="T120">
            <v>3</v>
          </cell>
          <cell r="AB120">
            <v>18797</v>
          </cell>
          <cell r="AC120" t="str">
            <v>暑寒別川</v>
          </cell>
          <cell r="AD120" t="str">
            <v>ＡＡ</v>
          </cell>
          <cell r="AE120" t="str">
            <v>イ</v>
          </cell>
          <cell r="AF120">
            <v>15</v>
          </cell>
          <cell r="AJ120" t="str">
            <v>暑寒別川</v>
          </cell>
          <cell r="AL120" t="str">
            <v>暑寒別川取水口</v>
          </cell>
          <cell r="AM120">
            <v>5.7</v>
          </cell>
          <cell r="AQ120" t="str">
            <v/>
          </cell>
          <cell r="AR120" t="str">
            <v>オキシディションディッチ法</v>
          </cell>
          <cell r="AS120" t="str">
            <v>0148101001</v>
          </cell>
          <cell r="AT120" t="str">
            <v/>
          </cell>
          <cell r="AU120" t="str">
            <v>10</v>
          </cell>
          <cell r="AV120" t="str">
            <v>10</v>
          </cell>
          <cell r="AW120">
            <v>0</v>
          </cell>
          <cell r="AX120">
            <v>0</v>
          </cell>
          <cell r="AY120">
            <v>0</v>
          </cell>
          <cell r="AZ120">
            <v>0</v>
          </cell>
          <cell r="BA120">
            <v>0</v>
          </cell>
          <cell r="BD120" t="str">
            <v/>
          </cell>
          <cell r="BE120">
            <v>1</v>
          </cell>
          <cell r="BG120" t="str">
            <v>1100</v>
          </cell>
        </row>
        <row r="121">
          <cell r="B121" t="str">
            <v>G014820206100100</v>
          </cell>
          <cell r="C121" t="str">
            <v>01.北海道</v>
          </cell>
          <cell r="D121" t="str">
            <v>482</v>
          </cell>
          <cell r="E121" t="str">
            <v>小平町</v>
          </cell>
          <cell r="F121" t="str">
            <v>02</v>
          </cell>
          <cell r="G121" t="str">
            <v>特環 単独</v>
          </cell>
          <cell r="H121" t="str">
            <v>特定環境保全公共下水道</v>
          </cell>
          <cell r="I121" t="str">
            <v>単独</v>
          </cell>
          <cell r="J121" t="str">
            <v>001</v>
          </cell>
          <cell r="K121" t="str">
            <v>小平浄化センター</v>
          </cell>
          <cell r="M121" t="str">
            <v>1</v>
          </cell>
          <cell r="N121" t="str">
            <v>1</v>
          </cell>
          <cell r="Q121">
            <v>36800</v>
          </cell>
          <cell r="R121" t="str">
            <v>平成</v>
          </cell>
          <cell r="S121">
            <v>12</v>
          </cell>
          <cell r="T121">
            <v>10</v>
          </cell>
          <cell r="AB121">
            <v>4940</v>
          </cell>
          <cell r="AC121" t="str">
            <v>設定なし</v>
          </cell>
          <cell r="AF121">
            <v>15</v>
          </cell>
          <cell r="AJ121" t="str">
            <v>小平蘂川</v>
          </cell>
          <cell r="AL121" t="str">
            <v>小平蘂川</v>
          </cell>
          <cell r="AM121">
            <v>5</v>
          </cell>
          <cell r="AO121" t="str">
            <v>小平町</v>
          </cell>
          <cell r="AQ121" t="str">
            <v/>
          </cell>
          <cell r="AR121" t="str">
            <v>オキシディションディッチ法</v>
          </cell>
          <cell r="AS121" t="str">
            <v>0148202001</v>
          </cell>
          <cell r="AT121" t="str">
            <v/>
          </cell>
          <cell r="AU121" t="str">
            <v>10</v>
          </cell>
          <cell r="AV121" t="str">
            <v>10</v>
          </cell>
          <cell r="AW121">
            <v>0</v>
          </cell>
          <cell r="AX121">
            <v>0</v>
          </cell>
          <cell r="AY121">
            <v>0</v>
          </cell>
          <cell r="AZ121">
            <v>0</v>
          </cell>
          <cell r="BA121">
            <v>0</v>
          </cell>
          <cell r="BD121" t="str">
            <v/>
          </cell>
          <cell r="BE121">
            <v>1</v>
          </cell>
          <cell r="BG121" t="str">
            <v>1100</v>
          </cell>
        </row>
        <row r="122">
          <cell r="B122" t="str">
            <v>G014820206100200</v>
          </cell>
          <cell r="C122" t="str">
            <v>01.北海道</v>
          </cell>
          <cell r="D122" t="str">
            <v>482</v>
          </cell>
          <cell r="E122" t="str">
            <v>小平町</v>
          </cell>
          <cell r="F122" t="str">
            <v>02</v>
          </cell>
          <cell r="G122" t="str">
            <v>特環 単独</v>
          </cell>
          <cell r="H122" t="str">
            <v>特定環境保全公共下水道</v>
          </cell>
          <cell r="I122" t="str">
            <v>単独</v>
          </cell>
          <cell r="J122" t="str">
            <v>002</v>
          </cell>
          <cell r="K122" t="str">
            <v>鬼鹿浄化センター</v>
          </cell>
          <cell r="M122" t="str">
            <v>1</v>
          </cell>
          <cell r="N122" t="str">
            <v>1</v>
          </cell>
          <cell r="Q122">
            <v>38777</v>
          </cell>
          <cell r="R122" t="str">
            <v>平成</v>
          </cell>
          <cell r="S122">
            <v>18</v>
          </cell>
          <cell r="T122">
            <v>3</v>
          </cell>
          <cell r="AB122">
            <v>4700</v>
          </cell>
          <cell r="AC122" t="str">
            <v>設定なし</v>
          </cell>
          <cell r="AF122">
            <v>15</v>
          </cell>
          <cell r="AJ122" t="str">
            <v>温寧川</v>
          </cell>
          <cell r="AQ122" t="str">
            <v/>
          </cell>
          <cell r="AR122" t="str">
            <v>オキシディションディッチ法</v>
          </cell>
          <cell r="AS122" t="str">
            <v>0148202002</v>
          </cell>
          <cell r="AT122" t="str">
            <v/>
          </cell>
          <cell r="AU122" t="str">
            <v>10</v>
          </cell>
          <cell r="AV122" t="str">
            <v>10</v>
          </cell>
          <cell r="AW122">
            <v>0</v>
          </cell>
          <cell r="AX122">
            <v>0</v>
          </cell>
          <cell r="AY122">
            <v>0</v>
          </cell>
          <cell r="AZ122">
            <v>0</v>
          </cell>
          <cell r="BA122">
            <v>0</v>
          </cell>
          <cell r="BD122" t="str">
            <v/>
          </cell>
          <cell r="BE122">
            <v>1</v>
          </cell>
          <cell r="BG122" t="str">
            <v>1100</v>
          </cell>
        </row>
        <row r="123">
          <cell r="B123" t="str">
            <v>G014830206100100</v>
          </cell>
          <cell r="C123" t="str">
            <v>01.北海道</v>
          </cell>
          <cell r="D123" t="str">
            <v>483</v>
          </cell>
          <cell r="E123" t="str">
            <v>苫前町</v>
          </cell>
          <cell r="F123" t="str">
            <v>02</v>
          </cell>
          <cell r="G123" t="str">
            <v>特環 単独</v>
          </cell>
          <cell r="H123" t="str">
            <v>特定環境保全公共下水道</v>
          </cell>
          <cell r="I123" t="str">
            <v>単独</v>
          </cell>
          <cell r="J123" t="str">
            <v>001</v>
          </cell>
          <cell r="K123" t="str">
            <v>苫前下水浄化センター</v>
          </cell>
          <cell r="M123" t="str">
            <v>1</v>
          </cell>
          <cell r="Q123">
            <v>38443</v>
          </cell>
          <cell r="R123" t="str">
            <v>平成</v>
          </cell>
          <cell r="S123">
            <v>17</v>
          </cell>
          <cell r="T123">
            <v>4</v>
          </cell>
          <cell r="AB123">
            <v>8591</v>
          </cell>
          <cell r="AC123" t="str">
            <v>設定なし</v>
          </cell>
          <cell r="AF123">
            <v>15</v>
          </cell>
          <cell r="AI123" t="str">
            <v>江島の沢川</v>
          </cell>
          <cell r="AJ123" t="str">
            <v>古丹別川</v>
          </cell>
          <cell r="AQ123" t="str">
            <v/>
          </cell>
          <cell r="AR123" t="str">
            <v>嫌気好気ろ床法</v>
          </cell>
          <cell r="AS123" t="str">
            <v>0148302001</v>
          </cell>
          <cell r="AT123" t="str">
            <v/>
          </cell>
          <cell r="AU123" t="str">
            <v>00</v>
          </cell>
          <cell r="AV123" t="str">
            <v>00</v>
          </cell>
          <cell r="AW123">
            <v>0</v>
          </cell>
          <cell r="AX123">
            <v>0</v>
          </cell>
          <cell r="AY123">
            <v>0</v>
          </cell>
          <cell r="AZ123">
            <v>0</v>
          </cell>
          <cell r="BA123">
            <v>0</v>
          </cell>
          <cell r="BD123" t="str">
            <v/>
          </cell>
          <cell r="BE123">
            <v>1</v>
          </cell>
          <cell r="BG123" t="str">
            <v>1000</v>
          </cell>
        </row>
        <row r="124">
          <cell r="B124" t="str">
            <v>G014830206100200</v>
          </cell>
          <cell r="C124" t="str">
            <v>01.北海道</v>
          </cell>
          <cell r="D124" t="str">
            <v>483</v>
          </cell>
          <cell r="E124" t="str">
            <v>苫前町</v>
          </cell>
          <cell r="F124" t="str">
            <v>02</v>
          </cell>
          <cell r="G124" t="str">
            <v>特環 単独</v>
          </cell>
          <cell r="H124" t="str">
            <v>特定環境保全公共下水道</v>
          </cell>
          <cell r="I124" t="str">
            <v>単独</v>
          </cell>
          <cell r="J124" t="str">
            <v>002</v>
          </cell>
          <cell r="K124" t="str">
            <v>古丹別第1下水浄化センター</v>
          </cell>
          <cell r="M124" t="str">
            <v>1</v>
          </cell>
          <cell r="Q124">
            <v>39722</v>
          </cell>
          <cell r="R124" t="str">
            <v>平成</v>
          </cell>
          <cell r="S124">
            <v>20</v>
          </cell>
          <cell r="T124">
            <v>10</v>
          </cell>
          <cell r="AB124">
            <v>4773</v>
          </cell>
          <cell r="AC124" t="str">
            <v>設定なし</v>
          </cell>
          <cell r="AF124">
            <v>15</v>
          </cell>
          <cell r="AJ124" t="str">
            <v>三毛別川</v>
          </cell>
          <cell r="AQ124" t="str">
            <v/>
          </cell>
          <cell r="AR124" t="str">
            <v>接触酸化法</v>
          </cell>
          <cell r="AS124" t="str">
            <v>0148302002</v>
          </cell>
          <cell r="AT124" t="str">
            <v/>
          </cell>
          <cell r="AU124" t="str">
            <v>00</v>
          </cell>
          <cell r="AV124" t="str">
            <v>00</v>
          </cell>
          <cell r="AW124">
            <v>0</v>
          </cell>
          <cell r="AX124">
            <v>0</v>
          </cell>
          <cell r="AY124">
            <v>0</v>
          </cell>
          <cell r="AZ124">
            <v>0</v>
          </cell>
          <cell r="BA124">
            <v>0</v>
          </cell>
          <cell r="BD124" t="str">
            <v/>
          </cell>
          <cell r="BE124">
            <v>1</v>
          </cell>
          <cell r="BG124" t="str">
            <v>1000</v>
          </cell>
        </row>
        <row r="125">
          <cell r="B125" t="str">
            <v>G014840106100100</v>
          </cell>
          <cell r="C125" t="str">
            <v>01.北海道</v>
          </cell>
          <cell r="D125" t="str">
            <v>484</v>
          </cell>
          <cell r="E125" t="str">
            <v>羽幌町</v>
          </cell>
          <cell r="F125" t="str">
            <v>01</v>
          </cell>
          <cell r="G125" t="str">
            <v>公共 単独</v>
          </cell>
          <cell r="H125" t="str">
            <v>公共下水道</v>
          </cell>
          <cell r="I125" t="str">
            <v>単独</v>
          </cell>
          <cell r="J125" t="str">
            <v>001</v>
          </cell>
          <cell r="K125" t="str">
            <v>羽幌浄化センター</v>
          </cell>
          <cell r="M125" t="str">
            <v>1</v>
          </cell>
          <cell r="N125" t="str">
            <v>1</v>
          </cell>
          <cell r="Q125">
            <v>37530</v>
          </cell>
          <cell r="R125" t="str">
            <v>平成</v>
          </cell>
          <cell r="S125">
            <v>14</v>
          </cell>
          <cell r="T125">
            <v>10</v>
          </cell>
          <cell r="AB125">
            <v>18000</v>
          </cell>
          <cell r="AC125" t="str">
            <v>設定なし</v>
          </cell>
          <cell r="AF125">
            <v>15</v>
          </cell>
          <cell r="AJ125" t="str">
            <v>羽幌川</v>
          </cell>
          <cell r="AQ125" t="str">
            <v/>
          </cell>
          <cell r="AR125" t="str">
            <v>オキシディションディッチ法</v>
          </cell>
          <cell r="AS125" t="str">
            <v>0148401001</v>
          </cell>
          <cell r="AT125" t="str">
            <v/>
          </cell>
          <cell r="AU125" t="str">
            <v>10</v>
          </cell>
          <cell r="AV125" t="str">
            <v>10</v>
          </cell>
          <cell r="AW125">
            <v>0</v>
          </cell>
          <cell r="AX125">
            <v>0</v>
          </cell>
          <cell r="AY125">
            <v>0</v>
          </cell>
          <cell r="AZ125">
            <v>0</v>
          </cell>
          <cell r="BA125">
            <v>0</v>
          </cell>
          <cell r="BD125" t="str">
            <v/>
          </cell>
          <cell r="BE125">
            <v>1</v>
          </cell>
          <cell r="BG125" t="str">
            <v>1100</v>
          </cell>
        </row>
        <row r="126">
          <cell r="B126" t="str">
            <v>G014860206100100</v>
          </cell>
          <cell r="C126" t="str">
            <v>01.北海道</v>
          </cell>
          <cell r="D126" t="str">
            <v>486</v>
          </cell>
          <cell r="E126" t="str">
            <v>遠別町</v>
          </cell>
          <cell r="F126" t="str">
            <v>02</v>
          </cell>
          <cell r="G126" t="str">
            <v>特環 単独</v>
          </cell>
          <cell r="H126" t="str">
            <v>特定環境保全公共下水道</v>
          </cell>
          <cell r="I126" t="str">
            <v>単独</v>
          </cell>
          <cell r="J126" t="str">
            <v>001</v>
          </cell>
          <cell r="K126" t="str">
            <v>遠別浄化センター</v>
          </cell>
          <cell r="M126" t="str">
            <v>1</v>
          </cell>
          <cell r="N126" t="str">
            <v>1</v>
          </cell>
          <cell r="O126" t="str">
            <v>1</v>
          </cell>
          <cell r="Q126">
            <v>36800</v>
          </cell>
          <cell r="R126" t="str">
            <v>平成</v>
          </cell>
          <cell r="S126">
            <v>12</v>
          </cell>
          <cell r="T126">
            <v>10</v>
          </cell>
          <cell r="AB126">
            <v>18436</v>
          </cell>
          <cell r="AC126" t="str">
            <v>設定なし</v>
          </cell>
          <cell r="AF126">
            <v>15</v>
          </cell>
          <cell r="AJ126" t="str">
            <v>２級河川　遠別川</v>
          </cell>
          <cell r="AO126" t="str">
            <v>遠別町・初山別の一部</v>
          </cell>
          <cell r="AQ126" t="str">
            <v/>
          </cell>
          <cell r="AR126" t="str">
            <v>オキシディションディッチ法</v>
          </cell>
          <cell r="AS126" t="str">
            <v>0148602001</v>
          </cell>
          <cell r="AT126" t="str">
            <v/>
          </cell>
          <cell r="AU126" t="str">
            <v>11</v>
          </cell>
          <cell r="AV126" t="str">
            <v>11</v>
          </cell>
          <cell r="AW126">
            <v>0</v>
          </cell>
          <cell r="AX126">
            <v>0</v>
          </cell>
          <cell r="AY126">
            <v>0</v>
          </cell>
          <cell r="AZ126">
            <v>0</v>
          </cell>
          <cell r="BA126">
            <v>0</v>
          </cell>
          <cell r="BD126" t="str">
            <v/>
          </cell>
          <cell r="BE126">
            <v>1</v>
          </cell>
          <cell r="BG126" t="str">
            <v>1110</v>
          </cell>
        </row>
        <row r="127">
          <cell r="B127" t="str">
            <v>G014870206100100</v>
          </cell>
          <cell r="C127" t="str">
            <v>01.北海道</v>
          </cell>
          <cell r="D127" t="str">
            <v>487</v>
          </cell>
          <cell r="E127" t="str">
            <v>天塩町</v>
          </cell>
          <cell r="F127" t="str">
            <v>02</v>
          </cell>
          <cell r="G127" t="str">
            <v>特環 単独</v>
          </cell>
          <cell r="H127" t="str">
            <v>特定環境保全公共下水道</v>
          </cell>
          <cell r="I127" t="str">
            <v>単独</v>
          </cell>
          <cell r="J127" t="str">
            <v>001</v>
          </cell>
          <cell r="K127" t="str">
            <v>天塩クリーンセンター</v>
          </cell>
          <cell r="M127" t="str">
            <v>1</v>
          </cell>
          <cell r="N127" t="str">
            <v>1</v>
          </cell>
          <cell r="Q127">
            <v>36647</v>
          </cell>
          <cell r="R127" t="str">
            <v>平成</v>
          </cell>
          <cell r="S127">
            <v>12</v>
          </cell>
          <cell r="T127">
            <v>5</v>
          </cell>
          <cell r="AB127">
            <v>4987</v>
          </cell>
          <cell r="AC127" t="str">
            <v>天塩川</v>
          </cell>
          <cell r="AD127" t="str">
            <v>Ｂ</v>
          </cell>
          <cell r="AE127" t="str">
            <v>ロ</v>
          </cell>
          <cell r="AK127" t="str">
            <v>天塩川</v>
          </cell>
          <cell r="AQ127" t="str">
            <v/>
          </cell>
          <cell r="AR127" t="str">
            <v>オキシディションディッチ法</v>
          </cell>
          <cell r="AS127" t="str">
            <v>0148702001</v>
          </cell>
          <cell r="AT127" t="str">
            <v/>
          </cell>
          <cell r="AU127" t="str">
            <v>10</v>
          </cell>
          <cell r="AV127" t="str">
            <v>10</v>
          </cell>
          <cell r="AW127">
            <v>0</v>
          </cell>
          <cell r="AX127">
            <v>0</v>
          </cell>
          <cell r="AY127">
            <v>0</v>
          </cell>
          <cell r="AZ127">
            <v>0</v>
          </cell>
          <cell r="BA127">
            <v>0</v>
          </cell>
          <cell r="BD127" t="str">
            <v/>
          </cell>
          <cell r="BE127">
            <v>1</v>
          </cell>
          <cell r="BG127" t="str">
            <v>1100</v>
          </cell>
        </row>
        <row r="128">
          <cell r="B128" t="str">
            <v>G015120106100100</v>
          </cell>
          <cell r="C128" t="str">
            <v>01.北海道</v>
          </cell>
          <cell r="D128" t="str">
            <v>512</v>
          </cell>
          <cell r="E128" t="str">
            <v>浜頓別町</v>
          </cell>
          <cell r="F128" t="str">
            <v>01</v>
          </cell>
          <cell r="G128" t="str">
            <v>公共 単独</v>
          </cell>
          <cell r="H128" t="str">
            <v>公共下水道</v>
          </cell>
          <cell r="I128" t="str">
            <v>単独</v>
          </cell>
          <cell r="J128" t="str">
            <v>001</v>
          </cell>
          <cell r="K128" t="str">
            <v>浜頓別下水終末処理場</v>
          </cell>
          <cell r="M128" t="str">
            <v>1</v>
          </cell>
          <cell r="N128" t="str">
            <v>1</v>
          </cell>
          <cell r="Q128">
            <v>32964</v>
          </cell>
          <cell r="R128" t="str">
            <v>平成</v>
          </cell>
          <cell r="S128">
            <v>2</v>
          </cell>
          <cell r="T128">
            <v>4</v>
          </cell>
          <cell r="AB128">
            <v>12535</v>
          </cell>
          <cell r="AC128" t="str">
            <v>頓別川下流（４）</v>
          </cell>
          <cell r="AD128" t="str">
            <v>Ｂ</v>
          </cell>
          <cell r="AE128" t="str">
            <v>イ</v>
          </cell>
          <cell r="AF128">
            <v>15</v>
          </cell>
          <cell r="AI128" t="str">
            <v>ｸｯﾁｬﾛ川</v>
          </cell>
          <cell r="AJ128" t="str">
            <v>頓別川</v>
          </cell>
          <cell r="AQ128" t="str">
            <v/>
          </cell>
          <cell r="AR128" t="str">
            <v>オキシディションディッチ法</v>
          </cell>
          <cell r="AS128" t="str">
            <v>0151201001</v>
          </cell>
          <cell r="AT128" t="str">
            <v/>
          </cell>
          <cell r="AU128" t="str">
            <v>10</v>
          </cell>
          <cell r="AV128" t="str">
            <v>10</v>
          </cell>
          <cell r="AW128">
            <v>0</v>
          </cell>
          <cell r="AX128">
            <v>0</v>
          </cell>
          <cell r="AY128">
            <v>0</v>
          </cell>
          <cell r="AZ128">
            <v>0</v>
          </cell>
          <cell r="BA128">
            <v>0</v>
          </cell>
          <cell r="BD128" t="str">
            <v/>
          </cell>
          <cell r="BE128">
            <v>1</v>
          </cell>
          <cell r="BG128" t="str">
            <v>1100</v>
          </cell>
        </row>
        <row r="129">
          <cell r="B129" t="str">
            <v>G015130206100100</v>
          </cell>
          <cell r="C129" t="str">
            <v>01.北海道</v>
          </cell>
          <cell r="D129" t="str">
            <v>513</v>
          </cell>
          <cell r="E129" t="str">
            <v>中頓別町</v>
          </cell>
          <cell r="F129" t="str">
            <v>02</v>
          </cell>
          <cell r="G129" t="str">
            <v>特環 単独</v>
          </cell>
          <cell r="H129" t="str">
            <v>特定環境保全公共下水道</v>
          </cell>
          <cell r="I129" t="str">
            <v>単独</v>
          </cell>
          <cell r="J129" t="str">
            <v>001</v>
          </cell>
          <cell r="K129" t="str">
            <v>中頓別町下水道管理センター</v>
          </cell>
          <cell r="M129" t="str">
            <v>1</v>
          </cell>
          <cell r="N129" t="str">
            <v>1</v>
          </cell>
          <cell r="Q129">
            <v>36220</v>
          </cell>
          <cell r="R129" t="str">
            <v>平成</v>
          </cell>
          <cell r="S129">
            <v>11</v>
          </cell>
          <cell r="T129">
            <v>3</v>
          </cell>
          <cell r="AB129">
            <v>5968</v>
          </cell>
          <cell r="AC129" t="str">
            <v>頓別川</v>
          </cell>
          <cell r="AD129" t="str">
            <v>Ｂ</v>
          </cell>
          <cell r="AE129" t="str">
            <v>イ</v>
          </cell>
          <cell r="AF129">
            <v>15</v>
          </cell>
          <cell r="AI129" t="str">
            <v>角田の沢川</v>
          </cell>
          <cell r="AJ129" t="str">
            <v>頓別川</v>
          </cell>
          <cell r="AQ129" t="str">
            <v/>
          </cell>
          <cell r="AR129" t="str">
            <v>オキシディションディッチ法</v>
          </cell>
          <cell r="AS129" t="str">
            <v>0151302001</v>
          </cell>
          <cell r="AT129" t="str">
            <v/>
          </cell>
          <cell r="AU129" t="str">
            <v>10</v>
          </cell>
          <cell r="AV129" t="str">
            <v>10</v>
          </cell>
          <cell r="AW129">
            <v>0</v>
          </cell>
          <cell r="AX129">
            <v>0</v>
          </cell>
          <cell r="AY129">
            <v>0</v>
          </cell>
          <cell r="AZ129">
            <v>0</v>
          </cell>
          <cell r="BA129">
            <v>0</v>
          </cell>
          <cell r="BD129" t="str">
            <v/>
          </cell>
          <cell r="BE129">
            <v>1</v>
          </cell>
          <cell r="BG129" t="str">
            <v>1100</v>
          </cell>
        </row>
        <row r="130">
          <cell r="B130" t="str">
            <v>G015140106100100</v>
          </cell>
          <cell r="C130" t="str">
            <v>01.北海道</v>
          </cell>
          <cell r="D130" t="str">
            <v>514</v>
          </cell>
          <cell r="E130" t="str">
            <v>枝幸町</v>
          </cell>
          <cell r="F130" t="str">
            <v>01</v>
          </cell>
          <cell r="G130" t="str">
            <v>公共 単独</v>
          </cell>
          <cell r="H130" t="str">
            <v>公共下水道</v>
          </cell>
          <cell r="I130" t="str">
            <v>単独</v>
          </cell>
          <cell r="J130" t="str">
            <v>001</v>
          </cell>
          <cell r="K130" t="str">
            <v>枝幸下水終末処理場</v>
          </cell>
          <cell r="M130" t="str">
            <v>1</v>
          </cell>
          <cell r="N130" t="str">
            <v>1</v>
          </cell>
          <cell r="Q130">
            <v>33147</v>
          </cell>
          <cell r="R130" t="str">
            <v>平成</v>
          </cell>
          <cell r="S130">
            <v>2</v>
          </cell>
          <cell r="T130">
            <v>10</v>
          </cell>
          <cell r="AB130">
            <v>15660</v>
          </cell>
          <cell r="AJ130" t="str">
            <v>ｴｻｼｳｴﾝﾅｲ川</v>
          </cell>
          <cell r="AL130" t="str">
            <v>ｹﾓﾏﾅｲ川取水</v>
          </cell>
          <cell r="AM130">
            <v>9</v>
          </cell>
          <cell r="AO130" t="str">
            <v>枝幸町</v>
          </cell>
          <cell r="AQ130" t="str">
            <v/>
          </cell>
          <cell r="AR130" t="str">
            <v>オキシディションディッチ法</v>
          </cell>
          <cell r="AS130" t="str">
            <v>0151401001</v>
          </cell>
          <cell r="AT130" t="str">
            <v/>
          </cell>
          <cell r="AU130" t="str">
            <v>10</v>
          </cell>
          <cell r="AV130" t="str">
            <v>10</v>
          </cell>
          <cell r="AW130">
            <v>0</v>
          </cell>
          <cell r="AX130">
            <v>0</v>
          </cell>
          <cell r="AY130">
            <v>0</v>
          </cell>
          <cell r="AZ130">
            <v>0</v>
          </cell>
          <cell r="BA130">
            <v>0</v>
          </cell>
          <cell r="BD130" t="str">
            <v/>
          </cell>
          <cell r="BE130">
            <v>1</v>
          </cell>
          <cell r="BG130" t="str">
            <v>1100</v>
          </cell>
        </row>
        <row r="131">
          <cell r="B131" t="str">
            <v>G015140206100200</v>
          </cell>
          <cell r="C131" t="str">
            <v>01.北海道</v>
          </cell>
          <cell r="D131" t="str">
            <v>514</v>
          </cell>
          <cell r="E131" t="str">
            <v>枝幸町</v>
          </cell>
          <cell r="F131" t="str">
            <v>02</v>
          </cell>
          <cell r="G131" t="str">
            <v>特環 単独</v>
          </cell>
          <cell r="H131" t="str">
            <v>特定環境保全公共下水道</v>
          </cell>
          <cell r="I131" t="str">
            <v>単独</v>
          </cell>
          <cell r="J131" t="str">
            <v>002</v>
          </cell>
          <cell r="K131" t="str">
            <v>歌登下水終末処理場</v>
          </cell>
          <cell r="M131" t="str">
            <v>1</v>
          </cell>
          <cell r="N131" t="str">
            <v>1</v>
          </cell>
          <cell r="Q131">
            <v>33512</v>
          </cell>
          <cell r="R131" t="str">
            <v>平成</v>
          </cell>
          <cell r="S131">
            <v>3</v>
          </cell>
          <cell r="T131">
            <v>10</v>
          </cell>
          <cell r="AB131">
            <v>7762</v>
          </cell>
          <cell r="AI131" t="str">
            <v>五線川</v>
          </cell>
          <cell r="AJ131" t="str">
            <v>北見幌別川</v>
          </cell>
          <cell r="AL131" t="str">
            <v>歌登簡易水道取水</v>
          </cell>
          <cell r="AM131">
            <v>11.5</v>
          </cell>
          <cell r="AO131" t="str">
            <v>枝幸町</v>
          </cell>
          <cell r="AQ131" t="str">
            <v/>
          </cell>
          <cell r="AR131" t="str">
            <v>オキシディションディッチ法</v>
          </cell>
          <cell r="AS131" t="str">
            <v>0151402002</v>
          </cell>
          <cell r="AT131" t="str">
            <v/>
          </cell>
          <cell r="AU131" t="str">
            <v>10</v>
          </cell>
          <cell r="AV131" t="str">
            <v>10</v>
          </cell>
          <cell r="AW131">
            <v>0</v>
          </cell>
          <cell r="AX131">
            <v>0</v>
          </cell>
          <cell r="AY131">
            <v>0</v>
          </cell>
          <cell r="AZ131">
            <v>0</v>
          </cell>
          <cell r="BA131">
            <v>0</v>
          </cell>
          <cell r="BD131" t="str">
            <v/>
          </cell>
          <cell r="BE131">
            <v>1</v>
          </cell>
          <cell r="BG131" t="str">
            <v>1100</v>
          </cell>
        </row>
        <row r="132">
          <cell r="B132" t="str">
            <v>G015160206100100</v>
          </cell>
          <cell r="C132" t="str">
            <v>01.北海道</v>
          </cell>
          <cell r="D132" t="str">
            <v>516</v>
          </cell>
          <cell r="E132" t="str">
            <v>豊富町</v>
          </cell>
          <cell r="F132" t="str">
            <v>02</v>
          </cell>
          <cell r="G132" t="str">
            <v>特環 単独</v>
          </cell>
          <cell r="H132" t="str">
            <v>特定環境保全公共下水道</v>
          </cell>
          <cell r="I132" t="str">
            <v>単独</v>
          </cell>
          <cell r="J132" t="str">
            <v>001</v>
          </cell>
          <cell r="K132" t="str">
            <v>豊富浄化センター</v>
          </cell>
          <cell r="M132" t="str">
            <v>1</v>
          </cell>
          <cell r="N132" t="str">
            <v>1</v>
          </cell>
          <cell r="Q132">
            <v>37316</v>
          </cell>
          <cell r="R132" t="str">
            <v>平成</v>
          </cell>
          <cell r="S132">
            <v>14</v>
          </cell>
          <cell r="T132">
            <v>3</v>
          </cell>
          <cell r="AB132">
            <v>11793</v>
          </cell>
          <cell r="AF132">
            <v>15</v>
          </cell>
          <cell r="AI132" t="str">
            <v>普通河川　鮒釣川</v>
          </cell>
          <cell r="AK132" t="str">
            <v>サロベツ川</v>
          </cell>
          <cell r="AQ132" t="str">
            <v/>
          </cell>
          <cell r="AR132" t="str">
            <v>オキシディションディッチ法</v>
          </cell>
          <cell r="AS132" t="str">
            <v>0151602001</v>
          </cell>
          <cell r="AT132" t="str">
            <v/>
          </cell>
          <cell r="AU132" t="str">
            <v>10</v>
          </cell>
          <cell r="AV132" t="str">
            <v>10</v>
          </cell>
          <cell r="AW132">
            <v>0</v>
          </cell>
          <cell r="AX132">
            <v>0</v>
          </cell>
          <cell r="AY132">
            <v>0</v>
          </cell>
          <cell r="AZ132">
            <v>0</v>
          </cell>
          <cell r="BA132">
            <v>0</v>
          </cell>
          <cell r="BD132" t="str">
            <v/>
          </cell>
          <cell r="BE132">
            <v>1</v>
          </cell>
          <cell r="BG132" t="str">
            <v>1100</v>
          </cell>
        </row>
        <row r="133">
          <cell r="B133" t="str">
            <v>G015170206100100</v>
          </cell>
          <cell r="C133" t="str">
            <v>01.北海道</v>
          </cell>
          <cell r="D133" t="str">
            <v>517</v>
          </cell>
          <cell r="E133" t="str">
            <v>礼文町</v>
          </cell>
          <cell r="F133" t="str">
            <v>02</v>
          </cell>
          <cell r="G133" t="str">
            <v>特環 単独</v>
          </cell>
          <cell r="H133" t="str">
            <v>特定環境保全公共下水道</v>
          </cell>
          <cell r="I133" t="str">
            <v>単独</v>
          </cell>
          <cell r="J133" t="str">
            <v>001</v>
          </cell>
          <cell r="K133" t="str">
            <v>香深アクアプラント</v>
          </cell>
          <cell r="M133" t="str">
            <v>1</v>
          </cell>
          <cell r="N133" t="str">
            <v>1</v>
          </cell>
          <cell r="Q133">
            <v>37681</v>
          </cell>
          <cell r="R133" t="str">
            <v>平成</v>
          </cell>
          <cell r="S133">
            <v>15</v>
          </cell>
          <cell r="T133">
            <v>3</v>
          </cell>
          <cell r="AB133">
            <v>5770</v>
          </cell>
          <cell r="AF133">
            <v>15</v>
          </cell>
          <cell r="AI133" t="str">
            <v>香深井川</v>
          </cell>
          <cell r="AQ133" t="str">
            <v/>
          </cell>
          <cell r="AR133" t="str">
            <v>オキシディションディッチ法</v>
          </cell>
          <cell r="AS133" t="str">
            <v>0151702001</v>
          </cell>
          <cell r="AT133" t="str">
            <v/>
          </cell>
          <cell r="AU133" t="str">
            <v>10</v>
          </cell>
          <cell r="AV133" t="str">
            <v>10</v>
          </cell>
          <cell r="AW133">
            <v>0</v>
          </cell>
          <cell r="AX133">
            <v>0</v>
          </cell>
          <cell r="AY133">
            <v>0</v>
          </cell>
          <cell r="AZ133">
            <v>0</v>
          </cell>
          <cell r="BA133">
            <v>0</v>
          </cell>
          <cell r="BD133" t="str">
            <v/>
          </cell>
          <cell r="BE133">
            <v>1</v>
          </cell>
          <cell r="BG133" t="str">
            <v>1100</v>
          </cell>
        </row>
        <row r="134">
          <cell r="B134" t="str">
            <v>G015170206100200</v>
          </cell>
          <cell r="C134" t="str">
            <v>01.北海道</v>
          </cell>
          <cell r="D134" t="str">
            <v>517</v>
          </cell>
          <cell r="E134" t="str">
            <v>礼文町</v>
          </cell>
          <cell r="F134" t="str">
            <v>02</v>
          </cell>
          <cell r="G134" t="str">
            <v>特環 単独</v>
          </cell>
          <cell r="H134" t="str">
            <v>特定環境保全公共下水道</v>
          </cell>
          <cell r="I134" t="str">
            <v>単独</v>
          </cell>
          <cell r="J134" t="str">
            <v>002</v>
          </cell>
          <cell r="K134" t="str">
            <v>船泊アクアプラント</v>
          </cell>
          <cell r="M134" t="str">
            <v>1</v>
          </cell>
          <cell r="N134" t="str">
            <v>1</v>
          </cell>
          <cell r="Q134">
            <v>39508</v>
          </cell>
          <cell r="R134" t="str">
            <v>平成</v>
          </cell>
          <cell r="S134">
            <v>20</v>
          </cell>
          <cell r="T134">
            <v>3</v>
          </cell>
          <cell r="AB134">
            <v>3524</v>
          </cell>
          <cell r="AF134">
            <v>15</v>
          </cell>
          <cell r="AI134" t="str">
            <v>ベンザイ川</v>
          </cell>
          <cell r="AQ134" t="str">
            <v/>
          </cell>
          <cell r="AR134" t="str">
            <v>オキシディションディッチ法</v>
          </cell>
          <cell r="AS134" t="str">
            <v>0151702002</v>
          </cell>
          <cell r="AT134" t="str">
            <v/>
          </cell>
          <cell r="AU134" t="str">
            <v>10</v>
          </cell>
          <cell r="AV134" t="str">
            <v>10</v>
          </cell>
          <cell r="AW134">
            <v>0</v>
          </cell>
          <cell r="AX134">
            <v>0</v>
          </cell>
          <cell r="AY134">
            <v>0</v>
          </cell>
          <cell r="AZ134">
            <v>0</v>
          </cell>
          <cell r="BA134">
            <v>0</v>
          </cell>
          <cell r="BD134" t="str">
            <v/>
          </cell>
          <cell r="BE134">
            <v>1</v>
          </cell>
          <cell r="BG134" t="str">
            <v>1100</v>
          </cell>
        </row>
        <row r="135">
          <cell r="B135" t="str">
            <v>G015180206100100</v>
          </cell>
          <cell r="C135" t="str">
            <v>01.北海道</v>
          </cell>
          <cell r="D135" t="str">
            <v>518</v>
          </cell>
          <cell r="E135" t="str">
            <v>利尻町</v>
          </cell>
          <cell r="F135" t="str">
            <v>02</v>
          </cell>
          <cell r="G135" t="str">
            <v>特環 単独</v>
          </cell>
          <cell r="H135" t="str">
            <v>特定環境保全公共下水道</v>
          </cell>
          <cell r="I135" t="str">
            <v>単独</v>
          </cell>
          <cell r="J135" t="str">
            <v>001</v>
          </cell>
          <cell r="K135" t="str">
            <v>沓形浄化センター</v>
          </cell>
          <cell r="M135" t="str">
            <v>1</v>
          </cell>
          <cell r="N135" t="str">
            <v>1</v>
          </cell>
          <cell r="Q135">
            <v>37330</v>
          </cell>
          <cell r="R135" t="str">
            <v>平成</v>
          </cell>
          <cell r="S135">
            <v>14</v>
          </cell>
          <cell r="T135">
            <v>3</v>
          </cell>
          <cell r="AB135">
            <v>6600</v>
          </cell>
          <cell r="AC135" t="str">
            <v>設定なし</v>
          </cell>
          <cell r="AF135">
            <v>15</v>
          </cell>
          <cell r="AI135" t="str">
            <v>日本海（宗谷支庁海域）</v>
          </cell>
          <cell r="AQ135" t="str">
            <v/>
          </cell>
          <cell r="AR135" t="str">
            <v>オキシディションディッチ法</v>
          </cell>
          <cell r="AS135" t="str">
            <v>0151802001</v>
          </cell>
          <cell r="AT135" t="str">
            <v/>
          </cell>
          <cell r="AU135" t="str">
            <v>10</v>
          </cell>
          <cell r="AV135" t="str">
            <v>10</v>
          </cell>
          <cell r="AW135">
            <v>0</v>
          </cell>
          <cell r="AX135">
            <v>0</v>
          </cell>
          <cell r="AY135">
            <v>0</v>
          </cell>
          <cell r="AZ135">
            <v>0</v>
          </cell>
          <cell r="BA135">
            <v>0</v>
          </cell>
          <cell r="BD135" t="str">
            <v/>
          </cell>
          <cell r="BE135">
            <v>1</v>
          </cell>
          <cell r="BG135" t="str">
            <v>1100</v>
          </cell>
        </row>
        <row r="136">
          <cell r="B136" t="str">
            <v>G015190206100100</v>
          </cell>
          <cell r="C136" t="str">
            <v>01.北海道</v>
          </cell>
          <cell r="D136" t="str">
            <v>519</v>
          </cell>
          <cell r="E136" t="str">
            <v>利尻富士町</v>
          </cell>
          <cell r="F136" t="str">
            <v>02</v>
          </cell>
          <cell r="G136" t="str">
            <v>特環 単独</v>
          </cell>
          <cell r="H136" t="str">
            <v>特定環境保全公共下水道</v>
          </cell>
          <cell r="I136" t="str">
            <v>単独</v>
          </cell>
          <cell r="J136" t="str">
            <v>001</v>
          </cell>
          <cell r="K136" t="str">
            <v>鴛泊下水浄化センター</v>
          </cell>
          <cell r="M136" t="str">
            <v>1</v>
          </cell>
          <cell r="N136" t="str">
            <v>1</v>
          </cell>
          <cell r="Q136">
            <v>37681</v>
          </cell>
          <cell r="R136" t="str">
            <v>平成</v>
          </cell>
          <cell r="S136">
            <v>15</v>
          </cell>
          <cell r="T136">
            <v>3</v>
          </cell>
          <cell r="AB136">
            <v>7300</v>
          </cell>
          <cell r="AC136" t="str">
            <v>設定なし</v>
          </cell>
          <cell r="AF136">
            <v>15</v>
          </cell>
          <cell r="AI136" t="str">
            <v>日本海</v>
          </cell>
          <cell r="AO136" t="str">
            <v>利尻富士町</v>
          </cell>
          <cell r="AQ136" t="str">
            <v/>
          </cell>
          <cell r="AR136" t="str">
            <v>オキシディションディッチ法</v>
          </cell>
          <cell r="AS136" t="str">
            <v>0151902001</v>
          </cell>
          <cell r="AT136" t="str">
            <v/>
          </cell>
          <cell r="AU136" t="str">
            <v>10</v>
          </cell>
          <cell r="AV136" t="str">
            <v>10</v>
          </cell>
          <cell r="AW136">
            <v>0</v>
          </cell>
          <cell r="AX136">
            <v>0</v>
          </cell>
          <cell r="AY136">
            <v>0</v>
          </cell>
          <cell r="AZ136">
            <v>0</v>
          </cell>
          <cell r="BA136">
            <v>0</v>
          </cell>
          <cell r="BD136" t="str">
            <v/>
          </cell>
          <cell r="BE136">
            <v>1</v>
          </cell>
          <cell r="BG136" t="str">
            <v>1100</v>
          </cell>
        </row>
        <row r="137">
          <cell r="B137" t="str">
            <v>G015190206100200</v>
          </cell>
          <cell r="C137" t="str">
            <v>01.北海道</v>
          </cell>
          <cell r="D137" t="str">
            <v>519</v>
          </cell>
          <cell r="E137" t="str">
            <v>利尻富士町</v>
          </cell>
          <cell r="F137" t="str">
            <v>02</v>
          </cell>
          <cell r="G137" t="str">
            <v>特環 単独</v>
          </cell>
          <cell r="H137" t="str">
            <v>特定環境保全公共下水道</v>
          </cell>
          <cell r="I137" t="str">
            <v>単独</v>
          </cell>
          <cell r="J137" t="str">
            <v>002</v>
          </cell>
          <cell r="K137" t="str">
            <v>鬼脇下水浄化センター</v>
          </cell>
          <cell r="M137" t="str">
            <v>1</v>
          </cell>
          <cell r="N137" t="str">
            <v>1</v>
          </cell>
          <cell r="Q137">
            <v>39508</v>
          </cell>
          <cell r="R137" t="str">
            <v>平成</v>
          </cell>
          <cell r="S137">
            <v>20</v>
          </cell>
          <cell r="T137">
            <v>3</v>
          </cell>
          <cell r="AB137">
            <v>2900</v>
          </cell>
          <cell r="AC137" t="str">
            <v>設定なし</v>
          </cell>
          <cell r="AF137">
            <v>15</v>
          </cell>
          <cell r="AI137" t="str">
            <v>日本海</v>
          </cell>
          <cell r="AO137" t="str">
            <v>利尻富士町</v>
          </cell>
          <cell r="AQ137" t="str">
            <v/>
          </cell>
          <cell r="AR137" t="str">
            <v>オキシディションディッチ法</v>
          </cell>
          <cell r="AS137" t="str">
            <v>0151902002</v>
          </cell>
          <cell r="AT137" t="str">
            <v/>
          </cell>
          <cell r="AU137" t="str">
            <v>10</v>
          </cell>
          <cell r="AV137" t="str">
            <v>10</v>
          </cell>
          <cell r="AW137">
            <v>0</v>
          </cell>
          <cell r="AX137">
            <v>0</v>
          </cell>
          <cell r="AY137">
            <v>0</v>
          </cell>
          <cell r="AZ137">
            <v>0</v>
          </cell>
          <cell r="BA137">
            <v>0</v>
          </cell>
          <cell r="BD137" t="str">
            <v/>
          </cell>
          <cell r="BE137">
            <v>1</v>
          </cell>
          <cell r="BG137" t="str">
            <v>1100</v>
          </cell>
        </row>
        <row r="138">
          <cell r="B138" t="str">
            <v>G015200206100100</v>
          </cell>
          <cell r="C138" t="str">
            <v>01.北海道</v>
          </cell>
          <cell r="D138" t="str">
            <v>520</v>
          </cell>
          <cell r="E138" t="str">
            <v>幌延町</v>
          </cell>
          <cell r="F138" t="str">
            <v>02</v>
          </cell>
          <cell r="G138" t="str">
            <v>特環 単独</v>
          </cell>
          <cell r="H138" t="str">
            <v>特定環境保全公共下水道</v>
          </cell>
          <cell r="I138" t="str">
            <v>単独</v>
          </cell>
          <cell r="J138" t="str">
            <v>001</v>
          </cell>
          <cell r="K138" t="str">
            <v>幌延下水道管理センター</v>
          </cell>
          <cell r="M138" t="str">
            <v>1</v>
          </cell>
          <cell r="N138" t="str">
            <v>1</v>
          </cell>
          <cell r="Q138">
            <v>36831</v>
          </cell>
          <cell r="R138" t="str">
            <v>平成</v>
          </cell>
          <cell r="S138">
            <v>12</v>
          </cell>
          <cell r="T138">
            <v>11</v>
          </cell>
          <cell r="AB138">
            <v>7270</v>
          </cell>
          <cell r="AC138" t="str">
            <v>設定なし</v>
          </cell>
          <cell r="AF138">
            <v>15</v>
          </cell>
          <cell r="AI138" t="str">
            <v>パンケウブシ</v>
          </cell>
          <cell r="AK138" t="str">
            <v>天塩川</v>
          </cell>
          <cell r="AQ138" t="str">
            <v/>
          </cell>
          <cell r="AR138" t="str">
            <v>オキシディションディッチ法</v>
          </cell>
          <cell r="AS138" t="str">
            <v>0152002001</v>
          </cell>
          <cell r="AT138" t="str">
            <v/>
          </cell>
          <cell r="AU138" t="str">
            <v>10</v>
          </cell>
          <cell r="AV138" t="str">
            <v>10</v>
          </cell>
          <cell r="AW138">
            <v>0</v>
          </cell>
          <cell r="AX138">
            <v>0</v>
          </cell>
          <cell r="AY138">
            <v>0</v>
          </cell>
          <cell r="AZ138">
            <v>0</v>
          </cell>
          <cell r="BA138">
            <v>0</v>
          </cell>
          <cell r="BD138" t="str">
            <v/>
          </cell>
          <cell r="BE138">
            <v>1</v>
          </cell>
          <cell r="BG138" t="str">
            <v>1100</v>
          </cell>
        </row>
        <row r="139">
          <cell r="B139" t="str">
            <v>G015430106100100</v>
          </cell>
          <cell r="C139" t="str">
            <v>01.北海道</v>
          </cell>
          <cell r="D139" t="str">
            <v>543</v>
          </cell>
          <cell r="E139" t="str">
            <v>美幌町</v>
          </cell>
          <cell r="F139" t="str">
            <v>01</v>
          </cell>
          <cell r="G139" t="str">
            <v>公共 単独</v>
          </cell>
          <cell r="H139" t="str">
            <v>公共下水道</v>
          </cell>
          <cell r="I139" t="str">
            <v>単独</v>
          </cell>
          <cell r="J139" t="str">
            <v>001</v>
          </cell>
          <cell r="K139" t="str">
            <v>美幌下水終末処理場</v>
          </cell>
          <cell r="M139" t="str">
            <v>1</v>
          </cell>
          <cell r="N139" t="str">
            <v>1</v>
          </cell>
          <cell r="Q139">
            <v>29860</v>
          </cell>
          <cell r="R139" t="str">
            <v>昭和</v>
          </cell>
          <cell r="S139">
            <v>56</v>
          </cell>
          <cell r="T139">
            <v>10</v>
          </cell>
          <cell r="AB139">
            <v>26874</v>
          </cell>
          <cell r="AC139" t="str">
            <v>網走川</v>
          </cell>
          <cell r="AD139" t="str">
            <v>Ｂ</v>
          </cell>
          <cell r="AE139" t="str">
            <v>ロ</v>
          </cell>
          <cell r="AF139">
            <v>15</v>
          </cell>
          <cell r="AK139" t="str">
            <v>美幌川</v>
          </cell>
          <cell r="AQ139" t="str">
            <v/>
          </cell>
          <cell r="AR139" t="str">
            <v>標準活性汚泥法</v>
          </cell>
          <cell r="AS139" t="str">
            <v>0154301001</v>
          </cell>
          <cell r="AT139" t="str">
            <v/>
          </cell>
          <cell r="AU139" t="str">
            <v>10</v>
          </cell>
          <cell r="AV139" t="str">
            <v>10</v>
          </cell>
          <cell r="AW139">
            <v>0</v>
          </cell>
          <cell r="AX139">
            <v>0</v>
          </cell>
          <cell r="AY139">
            <v>0</v>
          </cell>
          <cell r="AZ139">
            <v>0</v>
          </cell>
          <cell r="BA139">
            <v>0</v>
          </cell>
          <cell r="BD139" t="str">
            <v/>
          </cell>
          <cell r="BE139">
            <v>1</v>
          </cell>
          <cell r="BG139" t="str">
            <v>1100</v>
          </cell>
        </row>
        <row r="140">
          <cell r="B140" t="str">
            <v>G015440206100100</v>
          </cell>
          <cell r="C140" t="str">
            <v>01.北海道</v>
          </cell>
          <cell r="D140" t="str">
            <v>544</v>
          </cell>
          <cell r="E140" t="str">
            <v>津別町</v>
          </cell>
          <cell r="F140" t="str">
            <v>02</v>
          </cell>
          <cell r="G140" t="str">
            <v>特環 単独</v>
          </cell>
          <cell r="H140" t="str">
            <v>特定環境保全公共下水道</v>
          </cell>
          <cell r="I140" t="str">
            <v>単独</v>
          </cell>
          <cell r="J140" t="str">
            <v>001</v>
          </cell>
          <cell r="K140" t="str">
            <v>下水道管理センター</v>
          </cell>
          <cell r="M140" t="str">
            <v>1</v>
          </cell>
          <cell r="N140" t="str">
            <v>1</v>
          </cell>
          <cell r="Q140">
            <v>32782</v>
          </cell>
          <cell r="R140" t="str">
            <v>平成</v>
          </cell>
          <cell r="S140">
            <v>1</v>
          </cell>
          <cell r="T140">
            <v>10</v>
          </cell>
          <cell r="U140" t="str">
            <v>名称変更</v>
          </cell>
          <cell r="V140">
            <v>38412</v>
          </cell>
          <cell r="W140" t="str">
            <v>平成</v>
          </cell>
          <cell r="X140">
            <v>17</v>
          </cell>
          <cell r="Y140">
            <v>3</v>
          </cell>
          <cell r="Z140" t="str">
            <v>下水終末処理場</v>
          </cell>
          <cell r="AA140" t="str">
            <v>下水道管理センター</v>
          </cell>
          <cell r="AB140">
            <v>11480</v>
          </cell>
          <cell r="AC140" t="str">
            <v>網走川</v>
          </cell>
          <cell r="AD140" t="str">
            <v>Ａ</v>
          </cell>
          <cell r="AE140" t="str">
            <v>イ</v>
          </cell>
          <cell r="AF140">
            <v>15</v>
          </cell>
          <cell r="AK140" t="str">
            <v>網走川</v>
          </cell>
          <cell r="AQ140" t="str">
            <v/>
          </cell>
          <cell r="AR140" t="str">
            <v>オキシディションディッチ法</v>
          </cell>
          <cell r="AS140" t="str">
            <v>0154402001</v>
          </cell>
          <cell r="AT140" t="str">
            <v/>
          </cell>
          <cell r="AU140" t="str">
            <v>10</v>
          </cell>
          <cell r="AV140" t="str">
            <v>10</v>
          </cell>
          <cell r="AW140">
            <v>0</v>
          </cell>
          <cell r="AX140">
            <v>0</v>
          </cell>
          <cell r="AY140">
            <v>0</v>
          </cell>
          <cell r="AZ140">
            <v>0</v>
          </cell>
          <cell r="BA140">
            <v>0</v>
          </cell>
          <cell r="BD140" t="str">
            <v/>
          </cell>
          <cell r="BE140">
            <v>1</v>
          </cell>
          <cell r="BG140" t="str">
            <v>1100</v>
          </cell>
        </row>
        <row r="141">
          <cell r="B141" t="str">
            <v>G015450106100100</v>
          </cell>
          <cell r="C141" t="str">
            <v>01.北海道</v>
          </cell>
          <cell r="D141" t="str">
            <v>545</v>
          </cell>
          <cell r="E141" t="str">
            <v>斜里町</v>
          </cell>
          <cell r="F141" t="str">
            <v>01</v>
          </cell>
          <cell r="G141" t="str">
            <v>公共 単独</v>
          </cell>
          <cell r="H141" t="str">
            <v>公共下水道</v>
          </cell>
          <cell r="I141" t="str">
            <v>単独</v>
          </cell>
          <cell r="J141" t="str">
            <v>001</v>
          </cell>
          <cell r="K141" t="str">
            <v>斜里終末処理場</v>
          </cell>
          <cell r="M141" t="str">
            <v>1</v>
          </cell>
          <cell r="N141" t="str">
            <v>1</v>
          </cell>
          <cell r="Q141">
            <v>32051</v>
          </cell>
          <cell r="R141" t="str">
            <v>昭和</v>
          </cell>
          <cell r="S141">
            <v>62</v>
          </cell>
          <cell r="T141">
            <v>10</v>
          </cell>
          <cell r="AB141">
            <v>17666</v>
          </cell>
          <cell r="AF141">
            <v>15</v>
          </cell>
          <cell r="AI141" t="str">
            <v>オホーツク海</v>
          </cell>
          <cell r="AQ141" t="str">
            <v/>
          </cell>
          <cell r="AR141" t="str">
            <v>標準活性汚泥法</v>
          </cell>
          <cell r="AS141" t="str">
            <v>0154501001</v>
          </cell>
          <cell r="AT141" t="str">
            <v/>
          </cell>
          <cell r="AU141" t="str">
            <v>10</v>
          </cell>
          <cell r="AV141" t="str">
            <v>10</v>
          </cell>
          <cell r="AW141">
            <v>0</v>
          </cell>
          <cell r="AX141">
            <v>0</v>
          </cell>
          <cell r="AY141">
            <v>0</v>
          </cell>
          <cell r="AZ141">
            <v>0</v>
          </cell>
          <cell r="BA141">
            <v>0</v>
          </cell>
          <cell r="BD141" t="str">
            <v/>
          </cell>
          <cell r="BE141">
            <v>1</v>
          </cell>
          <cell r="BG141" t="str">
            <v>1100</v>
          </cell>
        </row>
        <row r="142">
          <cell r="B142" t="str">
            <v>G015450206100200</v>
          </cell>
          <cell r="C142" t="str">
            <v>01.北海道</v>
          </cell>
          <cell r="D142" t="str">
            <v>545</v>
          </cell>
          <cell r="E142" t="str">
            <v>斜里町</v>
          </cell>
          <cell r="F142" t="str">
            <v>02</v>
          </cell>
          <cell r="G142" t="str">
            <v>特環 単独</v>
          </cell>
          <cell r="H142" t="str">
            <v>特定環境保全公共下水道</v>
          </cell>
          <cell r="I142" t="str">
            <v>単独</v>
          </cell>
          <cell r="J142" t="str">
            <v>002</v>
          </cell>
          <cell r="K142" t="str">
            <v>ウトロ下水処理場</v>
          </cell>
          <cell r="M142" t="str">
            <v>1</v>
          </cell>
          <cell r="N142" t="str">
            <v>1</v>
          </cell>
          <cell r="Q142">
            <v>37347</v>
          </cell>
          <cell r="R142" t="str">
            <v>平成</v>
          </cell>
          <cell r="S142">
            <v>14</v>
          </cell>
          <cell r="T142">
            <v>4</v>
          </cell>
          <cell r="AB142">
            <v>5637</v>
          </cell>
          <cell r="AF142">
            <v>15</v>
          </cell>
          <cell r="AI142" t="str">
            <v>フンベ川</v>
          </cell>
          <cell r="AQ142" t="str">
            <v/>
          </cell>
          <cell r="AR142" t="str">
            <v>オキシディションディッチ法</v>
          </cell>
          <cell r="AS142" t="str">
            <v>0154502002</v>
          </cell>
          <cell r="AT142" t="str">
            <v/>
          </cell>
          <cell r="AU142" t="str">
            <v>10</v>
          </cell>
          <cell r="AV142" t="str">
            <v>10</v>
          </cell>
          <cell r="AW142">
            <v>0</v>
          </cell>
          <cell r="AX142">
            <v>0</v>
          </cell>
          <cell r="AY142">
            <v>0</v>
          </cell>
          <cell r="AZ142">
            <v>0</v>
          </cell>
          <cell r="BA142">
            <v>0</v>
          </cell>
          <cell r="BD142" t="str">
            <v/>
          </cell>
          <cell r="BE142">
            <v>1</v>
          </cell>
          <cell r="BG142" t="str">
            <v>1100</v>
          </cell>
        </row>
        <row r="143">
          <cell r="B143" t="str">
            <v>G015500206100100</v>
          </cell>
          <cell r="C143" t="str">
            <v>01.北海道</v>
          </cell>
          <cell r="D143" t="str">
            <v>550</v>
          </cell>
          <cell r="E143" t="str">
            <v>置戸町</v>
          </cell>
          <cell r="F143" t="str">
            <v>02</v>
          </cell>
          <cell r="G143" t="str">
            <v>特環 単独</v>
          </cell>
          <cell r="H143" t="str">
            <v>特定環境保全公共下水道</v>
          </cell>
          <cell r="I143" t="str">
            <v>単独</v>
          </cell>
          <cell r="J143" t="str">
            <v>001</v>
          </cell>
          <cell r="K143" t="str">
            <v>置戸浄化センター</v>
          </cell>
          <cell r="M143" t="str">
            <v>1</v>
          </cell>
          <cell r="N143" t="str">
            <v>1</v>
          </cell>
          <cell r="Q143">
            <v>34759</v>
          </cell>
          <cell r="R143" t="str">
            <v>平成</v>
          </cell>
          <cell r="S143">
            <v>7</v>
          </cell>
          <cell r="T143">
            <v>3</v>
          </cell>
          <cell r="AB143">
            <v>6300</v>
          </cell>
          <cell r="AC143" t="str">
            <v>常呂川　上流</v>
          </cell>
          <cell r="AD143" t="str">
            <v>Ａ</v>
          </cell>
          <cell r="AE143" t="str">
            <v>イ</v>
          </cell>
          <cell r="AF143">
            <v>15</v>
          </cell>
          <cell r="AI143" t="str">
            <v>常呂川</v>
          </cell>
          <cell r="AK143" t="str">
            <v>種川</v>
          </cell>
          <cell r="AL143" t="str">
            <v>常呂川　第一頭首工</v>
          </cell>
          <cell r="AN143">
            <v>17</v>
          </cell>
          <cell r="AO143" t="str">
            <v>北見市</v>
          </cell>
          <cell r="AQ143" t="str">
            <v/>
          </cell>
          <cell r="AR143" t="str">
            <v>オキシディションディッチ法</v>
          </cell>
          <cell r="AS143" t="str">
            <v>0155002001</v>
          </cell>
          <cell r="AT143" t="str">
            <v/>
          </cell>
          <cell r="AU143" t="str">
            <v>10</v>
          </cell>
          <cell r="AV143" t="str">
            <v>10</v>
          </cell>
          <cell r="AW143">
            <v>0</v>
          </cell>
          <cell r="AX143">
            <v>0</v>
          </cell>
          <cell r="AY143">
            <v>0</v>
          </cell>
          <cell r="AZ143">
            <v>0</v>
          </cell>
          <cell r="BA143">
            <v>0</v>
          </cell>
          <cell r="BD143" t="str">
            <v/>
          </cell>
          <cell r="BE143">
            <v>1</v>
          </cell>
          <cell r="BG143" t="str">
            <v>1100</v>
          </cell>
        </row>
        <row r="144">
          <cell r="B144" t="str">
            <v>G015520206100100</v>
          </cell>
          <cell r="C144" t="str">
            <v>01.北海道</v>
          </cell>
          <cell r="D144" t="str">
            <v>552</v>
          </cell>
          <cell r="E144" t="str">
            <v>佐呂間町</v>
          </cell>
          <cell r="F144" t="str">
            <v>02</v>
          </cell>
          <cell r="G144" t="str">
            <v>特環 単独</v>
          </cell>
          <cell r="H144" t="str">
            <v>特定環境保全公共下水道</v>
          </cell>
          <cell r="I144" t="str">
            <v>単独</v>
          </cell>
          <cell r="J144" t="str">
            <v>001</v>
          </cell>
          <cell r="K144" t="str">
            <v>佐呂間町下水道管理センター</v>
          </cell>
          <cell r="M144" t="str">
            <v>1</v>
          </cell>
          <cell r="N144" t="str">
            <v>1</v>
          </cell>
          <cell r="Q144">
            <v>35886</v>
          </cell>
          <cell r="R144" t="str">
            <v>平成</v>
          </cell>
          <cell r="S144">
            <v>10</v>
          </cell>
          <cell r="T144">
            <v>4</v>
          </cell>
          <cell r="AB144">
            <v>10864</v>
          </cell>
          <cell r="AC144" t="str">
            <v>佐呂間別川</v>
          </cell>
          <cell r="AD144" t="str">
            <v>ＡＡ</v>
          </cell>
          <cell r="AE144" t="str">
            <v>イ</v>
          </cell>
          <cell r="AF144">
            <v>15</v>
          </cell>
          <cell r="AJ144" t="str">
            <v>安斉川</v>
          </cell>
          <cell r="AQ144" t="str">
            <v/>
          </cell>
          <cell r="AR144" t="str">
            <v>オキシディションディッチ法</v>
          </cell>
          <cell r="AS144" t="str">
            <v>0155202001</v>
          </cell>
          <cell r="AT144" t="str">
            <v/>
          </cell>
          <cell r="AU144" t="str">
            <v>10</v>
          </cell>
          <cell r="AV144" t="str">
            <v>10</v>
          </cell>
          <cell r="AW144">
            <v>0</v>
          </cell>
          <cell r="AX144">
            <v>0</v>
          </cell>
          <cell r="AY144">
            <v>0</v>
          </cell>
          <cell r="AZ144">
            <v>0</v>
          </cell>
          <cell r="BA144">
            <v>0</v>
          </cell>
          <cell r="BD144" t="str">
            <v/>
          </cell>
          <cell r="BE144">
            <v>1</v>
          </cell>
          <cell r="BG144" t="str">
            <v>1100</v>
          </cell>
        </row>
        <row r="145">
          <cell r="B145" t="str">
            <v>G015550106100100</v>
          </cell>
          <cell r="C145" t="str">
            <v>01.北海道</v>
          </cell>
          <cell r="D145" t="str">
            <v>555</v>
          </cell>
          <cell r="E145" t="str">
            <v>遠軽町</v>
          </cell>
          <cell r="F145" t="str">
            <v>01</v>
          </cell>
          <cell r="G145" t="str">
            <v>公共 単独</v>
          </cell>
          <cell r="H145" t="str">
            <v>公共下水道</v>
          </cell>
          <cell r="I145" t="str">
            <v>単独</v>
          </cell>
          <cell r="J145" t="str">
            <v>001</v>
          </cell>
          <cell r="K145" t="str">
            <v>遠軽下水処理センター</v>
          </cell>
          <cell r="M145" t="str">
            <v>1</v>
          </cell>
          <cell r="N145" t="str">
            <v>1</v>
          </cell>
          <cell r="Q145">
            <v>31321</v>
          </cell>
          <cell r="R145" t="str">
            <v>昭和</v>
          </cell>
          <cell r="S145">
            <v>60</v>
          </cell>
          <cell r="T145">
            <v>10</v>
          </cell>
          <cell r="AB145">
            <v>28000</v>
          </cell>
          <cell r="AC145" t="str">
            <v>湧別川</v>
          </cell>
          <cell r="AD145" t="str">
            <v>Ａ</v>
          </cell>
          <cell r="AE145" t="str">
            <v>イ</v>
          </cell>
          <cell r="AF145">
            <v>15</v>
          </cell>
          <cell r="AK145" t="str">
            <v>湧別川</v>
          </cell>
          <cell r="AL145" t="str">
            <v>遠軽町弥生22番地湧別川右岸取水口</v>
          </cell>
          <cell r="AM145">
            <v>0.2</v>
          </cell>
          <cell r="AO145" t="str">
            <v>湧別町</v>
          </cell>
          <cell r="AQ145" t="str">
            <v/>
          </cell>
          <cell r="AR145" t="str">
            <v>標準活性汚泥法</v>
          </cell>
          <cell r="AS145" t="str">
            <v>0155501001</v>
          </cell>
          <cell r="AT145" t="str">
            <v/>
          </cell>
          <cell r="AU145" t="str">
            <v>10</v>
          </cell>
          <cell r="AV145" t="str">
            <v>10</v>
          </cell>
          <cell r="AW145">
            <v>0</v>
          </cell>
          <cell r="AX145">
            <v>0</v>
          </cell>
          <cell r="AY145">
            <v>0</v>
          </cell>
          <cell r="AZ145">
            <v>0</v>
          </cell>
          <cell r="BA145">
            <v>0</v>
          </cell>
          <cell r="BD145" t="str">
            <v/>
          </cell>
          <cell r="BE145">
            <v>1</v>
          </cell>
          <cell r="BG145" t="str">
            <v>1100</v>
          </cell>
        </row>
        <row r="146">
          <cell r="B146" t="str">
            <v>G015550206100200</v>
          </cell>
          <cell r="C146" t="str">
            <v>01.北海道</v>
          </cell>
          <cell r="D146" t="str">
            <v>555</v>
          </cell>
          <cell r="E146" t="str">
            <v>遠軽町</v>
          </cell>
          <cell r="F146" t="str">
            <v>02</v>
          </cell>
          <cell r="G146" t="str">
            <v>特環 単独</v>
          </cell>
          <cell r="H146" t="str">
            <v>特定環境保全公共下水道</v>
          </cell>
          <cell r="I146" t="str">
            <v>単独</v>
          </cell>
          <cell r="J146" t="str">
            <v>002</v>
          </cell>
          <cell r="K146" t="str">
            <v>丸瀬布せせらぎセンター</v>
          </cell>
          <cell r="M146" t="str">
            <v>1</v>
          </cell>
          <cell r="N146" t="str">
            <v>1</v>
          </cell>
          <cell r="Q146">
            <v>38292</v>
          </cell>
          <cell r="R146" t="str">
            <v>平成</v>
          </cell>
          <cell r="S146">
            <v>16</v>
          </cell>
          <cell r="T146">
            <v>11</v>
          </cell>
          <cell r="AB146">
            <v>13300</v>
          </cell>
          <cell r="AC146" t="str">
            <v>湧別川</v>
          </cell>
          <cell r="AD146" t="str">
            <v>Ａ</v>
          </cell>
          <cell r="AE146" t="str">
            <v>イ</v>
          </cell>
          <cell r="AF146">
            <v>15</v>
          </cell>
          <cell r="AK146" t="str">
            <v>湧別川</v>
          </cell>
          <cell r="AL146" t="str">
            <v>清川頭首工</v>
          </cell>
          <cell r="AN146">
            <v>11.5</v>
          </cell>
          <cell r="AO146" t="str">
            <v>遠軽町</v>
          </cell>
          <cell r="AQ146" t="str">
            <v/>
          </cell>
          <cell r="AR146" t="str">
            <v>オキシディションディッチ法</v>
          </cell>
          <cell r="AS146" t="str">
            <v>0155502002</v>
          </cell>
          <cell r="AT146" t="str">
            <v/>
          </cell>
          <cell r="AU146" t="str">
            <v>10</v>
          </cell>
          <cell r="AV146" t="str">
            <v>10</v>
          </cell>
          <cell r="AW146">
            <v>0</v>
          </cell>
          <cell r="AX146">
            <v>0</v>
          </cell>
          <cell r="AY146">
            <v>0</v>
          </cell>
          <cell r="AZ146">
            <v>0</v>
          </cell>
          <cell r="BA146">
            <v>0</v>
          </cell>
          <cell r="BD146" t="str">
            <v/>
          </cell>
          <cell r="BE146">
            <v>1</v>
          </cell>
          <cell r="BG146" t="str">
            <v>1100</v>
          </cell>
        </row>
        <row r="147">
          <cell r="B147" t="str">
            <v>G015550206100300</v>
          </cell>
          <cell r="C147" t="str">
            <v>01.北海道</v>
          </cell>
          <cell r="D147" t="str">
            <v>555</v>
          </cell>
          <cell r="E147" t="str">
            <v>遠軽町</v>
          </cell>
          <cell r="F147" t="str">
            <v>02</v>
          </cell>
          <cell r="G147" t="str">
            <v>特環 単独</v>
          </cell>
          <cell r="H147" t="str">
            <v>特定環境保全公共下水道</v>
          </cell>
          <cell r="I147" t="str">
            <v>単独</v>
          </cell>
          <cell r="J147" t="str">
            <v>003</v>
          </cell>
          <cell r="K147" t="str">
            <v>白滝浄化センター</v>
          </cell>
          <cell r="M147" t="str">
            <v>1</v>
          </cell>
          <cell r="N147" t="str">
            <v>1</v>
          </cell>
          <cell r="Q147">
            <v>38412</v>
          </cell>
          <cell r="R147" t="str">
            <v>平成</v>
          </cell>
          <cell r="S147">
            <v>17</v>
          </cell>
          <cell r="T147">
            <v>3</v>
          </cell>
          <cell r="AB147">
            <v>10010</v>
          </cell>
          <cell r="AC147" t="str">
            <v>湧別川</v>
          </cell>
          <cell r="AD147" t="str">
            <v>Ａ</v>
          </cell>
          <cell r="AE147" t="str">
            <v>イ</v>
          </cell>
          <cell r="AF147">
            <v>15</v>
          </cell>
          <cell r="AK147" t="str">
            <v>湧別川</v>
          </cell>
          <cell r="AL147" t="str">
            <v>清川頭首工</v>
          </cell>
          <cell r="AN147">
            <v>30</v>
          </cell>
          <cell r="AO147" t="str">
            <v>遠軽町</v>
          </cell>
          <cell r="AQ147" t="str">
            <v/>
          </cell>
          <cell r="AR147" t="str">
            <v>オキシディションディッチ法</v>
          </cell>
          <cell r="AS147" t="str">
            <v>0155502003</v>
          </cell>
          <cell r="AT147" t="str">
            <v/>
          </cell>
          <cell r="AU147" t="str">
            <v>10</v>
          </cell>
          <cell r="AV147" t="str">
            <v>10</v>
          </cell>
          <cell r="AW147">
            <v>0</v>
          </cell>
          <cell r="AX147">
            <v>0</v>
          </cell>
          <cell r="AY147">
            <v>0</v>
          </cell>
          <cell r="AZ147">
            <v>0</v>
          </cell>
          <cell r="BA147">
            <v>0</v>
          </cell>
          <cell r="BD147" t="str">
            <v/>
          </cell>
          <cell r="BE147">
            <v>1</v>
          </cell>
          <cell r="BG147" t="str">
            <v>1100</v>
          </cell>
        </row>
        <row r="148">
          <cell r="B148" t="str">
            <v>G015590206100100</v>
          </cell>
          <cell r="C148" t="str">
            <v>01.北海道</v>
          </cell>
          <cell r="D148" t="str">
            <v>559</v>
          </cell>
          <cell r="E148" t="str">
            <v>湧別町</v>
          </cell>
          <cell r="F148" t="str">
            <v>02</v>
          </cell>
          <cell r="G148" t="str">
            <v>特環 単独</v>
          </cell>
          <cell r="H148" t="str">
            <v>特定環境保全公共下水道</v>
          </cell>
          <cell r="I148" t="str">
            <v>単独</v>
          </cell>
          <cell r="J148" t="str">
            <v>001</v>
          </cell>
          <cell r="K148" t="str">
            <v>湧別町終末処理場</v>
          </cell>
          <cell r="M148" t="str">
            <v>1</v>
          </cell>
          <cell r="N148" t="str">
            <v>1</v>
          </cell>
          <cell r="Q148">
            <v>37316</v>
          </cell>
          <cell r="R148" t="str">
            <v>平成</v>
          </cell>
          <cell r="S148">
            <v>14</v>
          </cell>
          <cell r="T148">
            <v>3</v>
          </cell>
          <cell r="AB148">
            <v>11713</v>
          </cell>
          <cell r="AF148">
            <v>15</v>
          </cell>
          <cell r="AI148" t="str">
            <v>普通河川湧水川</v>
          </cell>
          <cell r="AQ148" t="str">
            <v/>
          </cell>
          <cell r="AR148" t="str">
            <v>オキシディションディッチ法</v>
          </cell>
          <cell r="AS148" t="str">
            <v>0155902001</v>
          </cell>
          <cell r="AT148" t="str">
            <v/>
          </cell>
          <cell r="AU148" t="str">
            <v>10</v>
          </cell>
          <cell r="AV148" t="str">
            <v>10</v>
          </cell>
          <cell r="AW148">
            <v>0</v>
          </cell>
          <cell r="AX148">
            <v>0</v>
          </cell>
          <cell r="AY148">
            <v>0</v>
          </cell>
          <cell r="AZ148">
            <v>0</v>
          </cell>
          <cell r="BA148">
            <v>0</v>
          </cell>
          <cell r="BD148" t="str">
            <v/>
          </cell>
          <cell r="BE148">
            <v>1</v>
          </cell>
          <cell r="BG148" t="str">
            <v>1100</v>
          </cell>
        </row>
        <row r="149">
          <cell r="B149" t="str">
            <v>G015600206100100</v>
          </cell>
          <cell r="C149" t="str">
            <v>01.北海道</v>
          </cell>
          <cell r="D149" t="str">
            <v>560</v>
          </cell>
          <cell r="E149" t="str">
            <v>滝上町</v>
          </cell>
          <cell r="F149" t="str">
            <v>02</v>
          </cell>
          <cell r="G149" t="str">
            <v>特環 単独</v>
          </cell>
          <cell r="H149" t="str">
            <v>特定環境保全公共下水道</v>
          </cell>
          <cell r="I149" t="str">
            <v>単独</v>
          </cell>
          <cell r="J149" t="str">
            <v>001</v>
          </cell>
          <cell r="K149" t="str">
            <v>滝上終末処理場</v>
          </cell>
          <cell r="M149" t="str">
            <v>1</v>
          </cell>
          <cell r="N149" t="str">
            <v>1</v>
          </cell>
          <cell r="Q149">
            <v>36586</v>
          </cell>
          <cell r="R149" t="str">
            <v>平成</v>
          </cell>
          <cell r="S149">
            <v>12</v>
          </cell>
          <cell r="T149">
            <v>3</v>
          </cell>
          <cell r="AB149">
            <v>11400</v>
          </cell>
          <cell r="AC149" t="str">
            <v>渚滑川中流</v>
          </cell>
          <cell r="AD149" t="str">
            <v>Ａ</v>
          </cell>
          <cell r="AE149" t="str">
            <v>イ</v>
          </cell>
          <cell r="AF149">
            <v>15</v>
          </cell>
          <cell r="AK149" t="str">
            <v>オシラネップ川</v>
          </cell>
          <cell r="AL149" t="str">
            <v>第１取水口</v>
          </cell>
          <cell r="AM149">
            <v>8</v>
          </cell>
          <cell r="AO149" t="str">
            <v>滝上町</v>
          </cell>
          <cell r="AQ149" t="str">
            <v/>
          </cell>
          <cell r="AR149" t="str">
            <v>オキシディションディッチ法</v>
          </cell>
          <cell r="AS149" t="str">
            <v>0156002001</v>
          </cell>
          <cell r="AT149" t="str">
            <v/>
          </cell>
          <cell r="AU149" t="str">
            <v>10</v>
          </cell>
          <cell r="AV149" t="str">
            <v>10</v>
          </cell>
          <cell r="AW149">
            <v>0</v>
          </cell>
          <cell r="AX149">
            <v>0</v>
          </cell>
          <cell r="AY149">
            <v>0</v>
          </cell>
          <cell r="AZ149">
            <v>0</v>
          </cell>
          <cell r="BA149">
            <v>0</v>
          </cell>
          <cell r="BD149" t="str">
            <v/>
          </cell>
          <cell r="BE149">
            <v>1</v>
          </cell>
          <cell r="BG149" t="str">
            <v>1100</v>
          </cell>
        </row>
        <row r="150">
          <cell r="B150" t="str">
            <v>G015610106100100</v>
          </cell>
          <cell r="C150" t="str">
            <v>01.北海道</v>
          </cell>
          <cell r="D150" t="str">
            <v>561</v>
          </cell>
          <cell r="E150" t="str">
            <v>興部町</v>
          </cell>
          <cell r="F150" t="str">
            <v>01</v>
          </cell>
          <cell r="G150" t="str">
            <v>公共 単独</v>
          </cell>
          <cell r="H150" t="str">
            <v>公共下水道</v>
          </cell>
          <cell r="I150" t="str">
            <v>単独</v>
          </cell>
          <cell r="J150" t="str">
            <v>001</v>
          </cell>
          <cell r="K150" t="str">
            <v>興部下水終末処理場</v>
          </cell>
          <cell r="M150" t="str">
            <v>1</v>
          </cell>
          <cell r="N150" t="str">
            <v>1</v>
          </cell>
          <cell r="Q150">
            <v>32599</v>
          </cell>
          <cell r="R150" t="str">
            <v>平成</v>
          </cell>
          <cell r="S150">
            <v>1</v>
          </cell>
          <cell r="T150">
            <v>4</v>
          </cell>
          <cell r="AB150">
            <v>8950</v>
          </cell>
          <cell r="AC150" t="str">
            <v>興部川下流</v>
          </cell>
          <cell r="AD150" t="str">
            <v>Ｂ</v>
          </cell>
          <cell r="AE150" t="str">
            <v>イ</v>
          </cell>
          <cell r="AF150">
            <v>15</v>
          </cell>
          <cell r="AJ150" t="str">
            <v>興部川</v>
          </cell>
          <cell r="AL150" t="str">
            <v>興部川取水口</v>
          </cell>
          <cell r="AM150">
            <v>10</v>
          </cell>
          <cell r="AO150" t="str">
            <v>興部町</v>
          </cell>
          <cell r="AQ150" t="str">
            <v/>
          </cell>
          <cell r="AR150" t="str">
            <v>オキシディションディッチ法</v>
          </cell>
          <cell r="AS150" t="str">
            <v>0156101001</v>
          </cell>
          <cell r="AT150" t="str">
            <v/>
          </cell>
          <cell r="AU150" t="str">
            <v>10</v>
          </cell>
          <cell r="AV150" t="str">
            <v>10</v>
          </cell>
          <cell r="AW150">
            <v>0</v>
          </cell>
          <cell r="AX150">
            <v>0</v>
          </cell>
          <cell r="AY150">
            <v>0</v>
          </cell>
          <cell r="AZ150">
            <v>0</v>
          </cell>
          <cell r="BA150">
            <v>0</v>
          </cell>
          <cell r="BD150" t="str">
            <v/>
          </cell>
          <cell r="BE150">
            <v>1</v>
          </cell>
          <cell r="BG150" t="str">
            <v>1100</v>
          </cell>
        </row>
        <row r="151">
          <cell r="B151" t="str">
            <v>G015610206100200</v>
          </cell>
          <cell r="C151" t="str">
            <v>01.北海道</v>
          </cell>
          <cell r="D151" t="str">
            <v>561</v>
          </cell>
          <cell r="E151" t="str">
            <v>興部町</v>
          </cell>
          <cell r="F151" t="str">
            <v>02</v>
          </cell>
          <cell r="G151" t="str">
            <v>特環 単独</v>
          </cell>
          <cell r="H151" t="str">
            <v>特定環境保全公共下水道</v>
          </cell>
          <cell r="I151" t="str">
            <v>単独</v>
          </cell>
          <cell r="J151" t="str">
            <v>002</v>
          </cell>
          <cell r="K151" t="str">
            <v>沙留下水終末処理場</v>
          </cell>
          <cell r="M151" t="str">
            <v>1</v>
          </cell>
          <cell r="N151" t="str">
            <v>1</v>
          </cell>
          <cell r="Q151">
            <v>35855</v>
          </cell>
          <cell r="R151" t="str">
            <v>平成</v>
          </cell>
          <cell r="S151">
            <v>10</v>
          </cell>
          <cell r="T151">
            <v>3</v>
          </cell>
          <cell r="AB151">
            <v>3665</v>
          </cell>
          <cell r="AF151">
            <v>15</v>
          </cell>
          <cell r="AI151" t="str">
            <v>矢野川</v>
          </cell>
          <cell r="AJ151" t="str">
            <v>沙留川</v>
          </cell>
          <cell r="AL151" t="str">
            <v>興部取水口</v>
          </cell>
          <cell r="AM151">
            <v>20</v>
          </cell>
          <cell r="AO151" t="str">
            <v>興部町</v>
          </cell>
          <cell r="AQ151" t="str">
            <v/>
          </cell>
          <cell r="AR151" t="str">
            <v>オキシディションディッチ法</v>
          </cell>
          <cell r="AS151" t="str">
            <v>0156102002</v>
          </cell>
          <cell r="AT151" t="str">
            <v/>
          </cell>
          <cell r="AU151" t="str">
            <v>10</v>
          </cell>
          <cell r="AV151" t="str">
            <v>10</v>
          </cell>
          <cell r="AW151">
            <v>0</v>
          </cell>
          <cell r="AX151">
            <v>0</v>
          </cell>
          <cell r="AY151">
            <v>0</v>
          </cell>
          <cell r="AZ151">
            <v>0</v>
          </cell>
          <cell r="BA151">
            <v>0</v>
          </cell>
          <cell r="BD151" t="str">
            <v/>
          </cell>
          <cell r="BE151">
            <v>1</v>
          </cell>
          <cell r="BG151" t="str">
            <v>1100</v>
          </cell>
        </row>
        <row r="152">
          <cell r="B152" t="str">
            <v>G015620206100100</v>
          </cell>
          <cell r="C152" t="str">
            <v>01.北海道</v>
          </cell>
          <cell r="D152" t="str">
            <v>562</v>
          </cell>
          <cell r="E152" t="str">
            <v>西興部村</v>
          </cell>
          <cell r="F152" t="str">
            <v>02</v>
          </cell>
          <cell r="G152" t="str">
            <v>特環 単独</v>
          </cell>
          <cell r="H152" t="str">
            <v>特定環境保全公共下水道</v>
          </cell>
          <cell r="I152" t="str">
            <v>単独</v>
          </cell>
          <cell r="J152" t="str">
            <v>001</v>
          </cell>
          <cell r="K152" t="str">
            <v>西興部村下水道終末処理場</v>
          </cell>
          <cell r="M152" t="str">
            <v>1</v>
          </cell>
          <cell r="N152" t="str">
            <v>1</v>
          </cell>
          <cell r="Q152">
            <v>36100</v>
          </cell>
          <cell r="R152" t="str">
            <v>平成</v>
          </cell>
          <cell r="S152">
            <v>10</v>
          </cell>
          <cell r="T152">
            <v>11</v>
          </cell>
          <cell r="AB152">
            <v>6000</v>
          </cell>
          <cell r="AF152">
            <v>15</v>
          </cell>
          <cell r="AJ152" t="str">
            <v>興部川</v>
          </cell>
          <cell r="AL152" t="str">
            <v>西興部村簡易水道</v>
          </cell>
          <cell r="AM152">
            <v>8</v>
          </cell>
          <cell r="AO152" t="str">
            <v>西興部村</v>
          </cell>
          <cell r="AQ152" t="str">
            <v/>
          </cell>
          <cell r="AR152" t="str">
            <v>オキシディションディッチ法</v>
          </cell>
          <cell r="AS152" t="str">
            <v>0156202001</v>
          </cell>
          <cell r="AT152" t="str">
            <v/>
          </cell>
          <cell r="AU152" t="str">
            <v>10</v>
          </cell>
          <cell r="AV152" t="str">
            <v>10</v>
          </cell>
          <cell r="AW152">
            <v>0</v>
          </cell>
          <cell r="AX152">
            <v>0</v>
          </cell>
          <cell r="AY152">
            <v>0</v>
          </cell>
          <cell r="AZ152">
            <v>0</v>
          </cell>
          <cell r="BA152">
            <v>0</v>
          </cell>
          <cell r="BD152" t="str">
            <v/>
          </cell>
          <cell r="BE152">
            <v>1</v>
          </cell>
          <cell r="BG152" t="str">
            <v>1100</v>
          </cell>
        </row>
        <row r="153">
          <cell r="B153" t="str">
            <v>G015630106100100</v>
          </cell>
          <cell r="C153" t="str">
            <v>01.北海道</v>
          </cell>
          <cell r="D153" t="str">
            <v>563</v>
          </cell>
          <cell r="E153" t="str">
            <v>雄武町</v>
          </cell>
          <cell r="F153" t="str">
            <v>01</v>
          </cell>
          <cell r="G153" t="str">
            <v>公共 単独</v>
          </cell>
          <cell r="H153" t="str">
            <v>公共下水道</v>
          </cell>
          <cell r="I153" t="str">
            <v>単独</v>
          </cell>
          <cell r="J153" t="str">
            <v>001</v>
          </cell>
          <cell r="K153" t="str">
            <v>雄武浄化センター</v>
          </cell>
          <cell r="M153" t="str">
            <v>1</v>
          </cell>
          <cell r="N153" t="str">
            <v>1</v>
          </cell>
          <cell r="O153" t="str">
            <v>1</v>
          </cell>
          <cell r="Q153">
            <v>35153</v>
          </cell>
          <cell r="R153" t="str">
            <v>平成</v>
          </cell>
          <cell r="S153">
            <v>8</v>
          </cell>
          <cell r="T153">
            <v>3</v>
          </cell>
          <cell r="AB153">
            <v>19728</v>
          </cell>
          <cell r="AF153">
            <v>15</v>
          </cell>
          <cell r="AI153" t="str">
            <v>元稲府川</v>
          </cell>
          <cell r="AL153" t="str">
            <v>青葉第２浄水場</v>
          </cell>
          <cell r="AO153" t="str">
            <v>雄武町</v>
          </cell>
          <cell r="AQ153" t="str">
            <v/>
          </cell>
          <cell r="AR153" t="str">
            <v>オキシディションディッチ法</v>
          </cell>
          <cell r="AS153" t="str">
            <v>0156301001</v>
          </cell>
          <cell r="AT153" t="str">
            <v/>
          </cell>
          <cell r="AU153" t="str">
            <v>11</v>
          </cell>
          <cell r="AV153" t="str">
            <v>11</v>
          </cell>
          <cell r="AW153">
            <v>0</v>
          </cell>
          <cell r="AX153">
            <v>0</v>
          </cell>
          <cell r="AY153">
            <v>0</v>
          </cell>
          <cell r="AZ153">
            <v>0</v>
          </cell>
          <cell r="BA153">
            <v>0</v>
          </cell>
          <cell r="BD153" t="str">
            <v/>
          </cell>
          <cell r="BE153">
            <v>1</v>
          </cell>
          <cell r="BG153" t="str">
            <v>1110</v>
          </cell>
        </row>
        <row r="154">
          <cell r="B154" t="str">
            <v>G015710206100100</v>
          </cell>
          <cell r="C154" t="str">
            <v>01.北海道</v>
          </cell>
          <cell r="D154" t="str">
            <v>571</v>
          </cell>
          <cell r="E154" t="str">
            <v>豊浦町</v>
          </cell>
          <cell r="F154" t="str">
            <v>02</v>
          </cell>
          <cell r="G154" t="str">
            <v>特環 単独</v>
          </cell>
          <cell r="H154" t="str">
            <v>特定環境保全公共下水道</v>
          </cell>
          <cell r="I154" t="str">
            <v>単独</v>
          </cell>
          <cell r="J154" t="str">
            <v>001</v>
          </cell>
          <cell r="K154" t="str">
            <v>豊浦浄化センター</v>
          </cell>
          <cell r="M154" t="str">
            <v>1</v>
          </cell>
          <cell r="N154" t="str">
            <v>1</v>
          </cell>
          <cell r="Q154">
            <v>33664</v>
          </cell>
          <cell r="R154" t="str">
            <v>平成</v>
          </cell>
          <cell r="S154">
            <v>4</v>
          </cell>
          <cell r="T154">
            <v>3</v>
          </cell>
          <cell r="AB154">
            <v>23394</v>
          </cell>
          <cell r="AC154" t="str">
            <v>貫気別川下流</v>
          </cell>
          <cell r="AD154" t="str">
            <v>Ｂ</v>
          </cell>
          <cell r="AE154" t="str">
            <v>ロ</v>
          </cell>
          <cell r="AJ154" t="str">
            <v>貫気別川</v>
          </cell>
          <cell r="AQ154" t="str">
            <v/>
          </cell>
          <cell r="AR154" t="str">
            <v>オキシディションディッチ法</v>
          </cell>
          <cell r="AS154" t="str">
            <v>0157102001</v>
          </cell>
          <cell r="AT154" t="str">
            <v/>
          </cell>
          <cell r="AU154" t="str">
            <v>10</v>
          </cell>
          <cell r="AV154" t="str">
            <v>10</v>
          </cell>
          <cell r="AW154">
            <v>0</v>
          </cell>
          <cell r="AX154">
            <v>0</v>
          </cell>
          <cell r="AY154">
            <v>0</v>
          </cell>
          <cell r="AZ154">
            <v>0</v>
          </cell>
          <cell r="BA154">
            <v>0</v>
          </cell>
          <cell r="BD154" t="str">
            <v/>
          </cell>
          <cell r="BE154">
            <v>1</v>
          </cell>
          <cell r="BG154" t="str">
            <v>1100</v>
          </cell>
        </row>
        <row r="155">
          <cell r="B155" t="str">
            <v>G015780106100100</v>
          </cell>
          <cell r="C155" t="str">
            <v>01.北海道</v>
          </cell>
          <cell r="D155" t="str">
            <v>578</v>
          </cell>
          <cell r="E155" t="str">
            <v>白老町</v>
          </cell>
          <cell r="F155" t="str">
            <v>01</v>
          </cell>
          <cell r="G155" t="str">
            <v>公共 単独</v>
          </cell>
          <cell r="H155" t="str">
            <v>公共下水道</v>
          </cell>
          <cell r="I155" t="str">
            <v>単独</v>
          </cell>
          <cell r="J155" t="str">
            <v>001</v>
          </cell>
          <cell r="K155" t="str">
            <v>白老下水終末処理場</v>
          </cell>
          <cell r="M155" t="str">
            <v>1</v>
          </cell>
          <cell r="N155" t="str">
            <v>1</v>
          </cell>
          <cell r="Q155">
            <v>27120</v>
          </cell>
          <cell r="R155" t="str">
            <v>昭和</v>
          </cell>
          <cell r="S155">
            <v>49</v>
          </cell>
          <cell r="T155">
            <v>4</v>
          </cell>
          <cell r="AB155">
            <v>34200</v>
          </cell>
          <cell r="AC155" t="str">
            <v>設定なし</v>
          </cell>
          <cell r="AF155">
            <v>15</v>
          </cell>
          <cell r="AI155" t="str">
            <v>太平洋</v>
          </cell>
          <cell r="AQ155" t="str">
            <v/>
          </cell>
          <cell r="AR155" t="str">
            <v>標準活性汚泥法</v>
          </cell>
          <cell r="AS155" t="str">
            <v>0157801001</v>
          </cell>
          <cell r="AT155" t="str">
            <v/>
          </cell>
          <cell r="AU155" t="str">
            <v>10</v>
          </cell>
          <cell r="AV155" t="str">
            <v>10</v>
          </cell>
          <cell r="AW155">
            <v>0</v>
          </cell>
          <cell r="AX155">
            <v>0</v>
          </cell>
          <cell r="AY155">
            <v>0</v>
          </cell>
          <cell r="AZ155">
            <v>0</v>
          </cell>
          <cell r="BA155">
            <v>0</v>
          </cell>
          <cell r="BD155" t="str">
            <v/>
          </cell>
          <cell r="BE155">
            <v>1</v>
          </cell>
          <cell r="BG155" t="str">
            <v>1100</v>
          </cell>
        </row>
        <row r="156">
          <cell r="B156" t="str">
            <v>G015810106100100</v>
          </cell>
          <cell r="C156" t="str">
            <v>01.北海道</v>
          </cell>
          <cell r="D156" t="str">
            <v>581</v>
          </cell>
          <cell r="E156" t="str">
            <v>厚真町</v>
          </cell>
          <cell r="F156" t="str">
            <v>01</v>
          </cell>
          <cell r="G156" t="str">
            <v>公共 単独</v>
          </cell>
          <cell r="H156" t="str">
            <v>公共下水道</v>
          </cell>
          <cell r="I156" t="str">
            <v>単独</v>
          </cell>
          <cell r="J156" t="str">
            <v>001</v>
          </cell>
          <cell r="K156" t="str">
            <v>厚真浄化センター</v>
          </cell>
          <cell r="M156" t="str">
            <v>1</v>
          </cell>
          <cell r="N156" t="str">
            <v>1</v>
          </cell>
          <cell r="Q156">
            <v>38047</v>
          </cell>
          <cell r="R156" t="str">
            <v>平成</v>
          </cell>
          <cell r="S156">
            <v>16</v>
          </cell>
          <cell r="T156">
            <v>3</v>
          </cell>
          <cell r="AB156">
            <v>13768</v>
          </cell>
          <cell r="AC156" t="str">
            <v>厚真川</v>
          </cell>
          <cell r="AD156" t="str">
            <v>Ａ</v>
          </cell>
          <cell r="AE156" t="str">
            <v>イ</v>
          </cell>
          <cell r="AF156">
            <v>15</v>
          </cell>
          <cell r="AI156" t="str">
            <v>厚真川</v>
          </cell>
          <cell r="AJ156" t="str">
            <v>厚真川</v>
          </cell>
          <cell r="AL156" t="str">
            <v>厚真取水口</v>
          </cell>
          <cell r="AM156">
            <v>1.7</v>
          </cell>
          <cell r="AQ156" t="str">
            <v/>
          </cell>
          <cell r="AR156" t="str">
            <v>オキシディションディッチ法</v>
          </cell>
          <cell r="AS156" t="str">
            <v>0158101001</v>
          </cell>
          <cell r="AT156" t="str">
            <v/>
          </cell>
          <cell r="AU156" t="str">
            <v>10</v>
          </cell>
          <cell r="AV156" t="str">
            <v>10</v>
          </cell>
          <cell r="AW156">
            <v>0</v>
          </cell>
          <cell r="AX156">
            <v>0</v>
          </cell>
          <cell r="AY156">
            <v>0</v>
          </cell>
          <cell r="AZ156">
            <v>0</v>
          </cell>
          <cell r="BA156">
            <v>0</v>
          </cell>
          <cell r="BD156" t="str">
            <v/>
          </cell>
          <cell r="BE156">
            <v>1</v>
          </cell>
          <cell r="BG156" t="str">
            <v>1100</v>
          </cell>
        </row>
        <row r="157">
          <cell r="B157" t="str">
            <v>G015840106100100</v>
          </cell>
          <cell r="C157" t="str">
            <v>01.北海道</v>
          </cell>
          <cell r="D157" t="str">
            <v>584</v>
          </cell>
          <cell r="E157" t="str">
            <v>洞爺湖町</v>
          </cell>
          <cell r="F157" t="str">
            <v>01</v>
          </cell>
          <cell r="G157" t="str">
            <v>公共 単独</v>
          </cell>
          <cell r="H157" t="str">
            <v>公共下水道</v>
          </cell>
          <cell r="I157" t="str">
            <v>単独</v>
          </cell>
          <cell r="J157" t="str">
            <v>001</v>
          </cell>
          <cell r="K157" t="str">
            <v>虻田下水終末処理場</v>
          </cell>
          <cell r="M157" t="str">
            <v>1</v>
          </cell>
          <cell r="N157" t="str">
            <v>1</v>
          </cell>
          <cell r="Q157">
            <v>32051</v>
          </cell>
          <cell r="R157" t="str">
            <v>昭和</v>
          </cell>
          <cell r="S157">
            <v>62</v>
          </cell>
          <cell r="T157">
            <v>10</v>
          </cell>
          <cell r="AB157">
            <v>42360</v>
          </cell>
          <cell r="AF157">
            <v>15</v>
          </cell>
          <cell r="AI157" t="str">
            <v>内浦湾</v>
          </cell>
          <cell r="AL157" t="str">
            <v>入江取水井</v>
          </cell>
          <cell r="AM157">
            <v>1</v>
          </cell>
          <cell r="AO157" t="str">
            <v>洞爺湖町</v>
          </cell>
          <cell r="AQ157" t="str">
            <v/>
          </cell>
          <cell r="AR157" t="str">
            <v>標準活性汚泥法</v>
          </cell>
          <cell r="AS157" t="str">
            <v>0158401001</v>
          </cell>
          <cell r="AT157" t="str">
            <v/>
          </cell>
          <cell r="AU157" t="str">
            <v>10</v>
          </cell>
          <cell r="AV157" t="str">
            <v>10</v>
          </cell>
          <cell r="AW157">
            <v>0</v>
          </cell>
          <cell r="AX157">
            <v>0</v>
          </cell>
          <cell r="AY157">
            <v>0</v>
          </cell>
          <cell r="AZ157">
            <v>0</v>
          </cell>
          <cell r="BA157">
            <v>0</v>
          </cell>
          <cell r="BD157" t="str">
            <v/>
          </cell>
          <cell r="BE157">
            <v>1</v>
          </cell>
          <cell r="BG157" t="str">
            <v>1100</v>
          </cell>
        </row>
        <row r="158">
          <cell r="B158" t="str">
            <v>G015840206100200</v>
          </cell>
          <cell r="C158" t="str">
            <v>01.北海道</v>
          </cell>
          <cell r="D158" t="str">
            <v>584</v>
          </cell>
          <cell r="E158" t="str">
            <v>洞爺湖町</v>
          </cell>
          <cell r="F158" t="str">
            <v>02</v>
          </cell>
          <cell r="G158" t="str">
            <v>特環 単独</v>
          </cell>
          <cell r="H158" t="str">
            <v>特定環境保全公共下水道</v>
          </cell>
          <cell r="I158" t="str">
            <v>単独</v>
          </cell>
          <cell r="J158" t="str">
            <v>002</v>
          </cell>
          <cell r="K158" t="str">
            <v>とうやクリーナップセンター</v>
          </cell>
          <cell r="M158" t="str">
            <v>1</v>
          </cell>
          <cell r="N158" t="str">
            <v>1</v>
          </cell>
          <cell r="Q158">
            <v>34788</v>
          </cell>
          <cell r="R158" t="str">
            <v>平成</v>
          </cell>
          <cell r="S158">
            <v>7</v>
          </cell>
          <cell r="T158">
            <v>3</v>
          </cell>
          <cell r="AB158">
            <v>7850</v>
          </cell>
          <cell r="AC158" t="str">
            <v>洞爺湖</v>
          </cell>
          <cell r="AD158" t="str">
            <v>ＡＡ</v>
          </cell>
          <cell r="AE158" t="str">
            <v>ハ</v>
          </cell>
          <cell r="AF158">
            <v>15</v>
          </cell>
          <cell r="AI158" t="str">
            <v>洞爺湖</v>
          </cell>
          <cell r="AQ158" t="str">
            <v/>
          </cell>
          <cell r="AR158" t="str">
            <v>オキシディションディッチ法</v>
          </cell>
          <cell r="AS158" t="str">
            <v>0158402002</v>
          </cell>
          <cell r="AT158" t="str">
            <v/>
          </cell>
          <cell r="AU158" t="str">
            <v>10</v>
          </cell>
          <cell r="AV158" t="str">
            <v>10</v>
          </cell>
          <cell r="AW158">
            <v>0</v>
          </cell>
          <cell r="AX158">
            <v>0</v>
          </cell>
          <cell r="AY158">
            <v>0</v>
          </cell>
          <cell r="AZ158">
            <v>0</v>
          </cell>
          <cell r="BA158">
            <v>0</v>
          </cell>
          <cell r="BD158" t="str">
            <v/>
          </cell>
          <cell r="BE158">
            <v>1</v>
          </cell>
          <cell r="BG158" t="str">
            <v>1100</v>
          </cell>
        </row>
        <row r="159">
          <cell r="B159" t="str">
            <v>G015850106100100</v>
          </cell>
          <cell r="C159" t="str">
            <v>01.北海道</v>
          </cell>
          <cell r="D159" t="str">
            <v>585</v>
          </cell>
          <cell r="E159" t="str">
            <v>安平町</v>
          </cell>
          <cell r="F159" t="str">
            <v>01</v>
          </cell>
          <cell r="G159" t="str">
            <v>公共 単独</v>
          </cell>
          <cell r="H159" t="str">
            <v>公共下水道</v>
          </cell>
          <cell r="I159" t="str">
            <v>単独</v>
          </cell>
          <cell r="J159" t="str">
            <v>001</v>
          </cell>
          <cell r="K159" t="str">
            <v>早来浄化センター</v>
          </cell>
          <cell r="M159" t="str">
            <v>1</v>
          </cell>
          <cell r="N159" t="str">
            <v>1</v>
          </cell>
          <cell r="Q159">
            <v>38261</v>
          </cell>
          <cell r="R159" t="str">
            <v>平成</v>
          </cell>
          <cell r="S159">
            <v>16</v>
          </cell>
          <cell r="T159">
            <v>10</v>
          </cell>
          <cell r="AB159">
            <v>15315</v>
          </cell>
          <cell r="AC159" t="str">
            <v>安平川</v>
          </cell>
          <cell r="AD159" t="str">
            <v>Ａ</v>
          </cell>
          <cell r="AE159" t="str">
            <v>イ</v>
          </cell>
          <cell r="AF159">
            <v>15</v>
          </cell>
          <cell r="AJ159" t="str">
            <v>安平川</v>
          </cell>
          <cell r="AQ159" t="str">
            <v/>
          </cell>
          <cell r="AR159" t="str">
            <v>オキシディションディッチ法</v>
          </cell>
          <cell r="AS159" t="str">
            <v>0158501001</v>
          </cell>
          <cell r="AT159" t="str">
            <v/>
          </cell>
          <cell r="AU159" t="str">
            <v>10</v>
          </cell>
          <cell r="AV159" t="str">
            <v>10</v>
          </cell>
          <cell r="AW159">
            <v>0</v>
          </cell>
          <cell r="AX159">
            <v>0</v>
          </cell>
          <cell r="AY159">
            <v>0</v>
          </cell>
          <cell r="AZ159">
            <v>0</v>
          </cell>
          <cell r="BA159">
            <v>0</v>
          </cell>
          <cell r="BD159" t="str">
            <v/>
          </cell>
          <cell r="BE159">
            <v>1</v>
          </cell>
          <cell r="BG159" t="str">
            <v>1100</v>
          </cell>
        </row>
        <row r="160">
          <cell r="B160" t="str">
            <v>G015850206100200</v>
          </cell>
          <cell r="C160" t="str">
            <v>01.北海道</v>
          </cell>
          <cell r="D160" t="str">
            <v>585</v>
          </cell>
          <cell r="E160" t="str">
            <v>安平町</v>
          </cell>
          <cell r="F160" t="str">
            <v>02</v>
          </cell>
          <cell r="G160" t="str">
            <v>特環 単独</v>
          </cell>
          <cell r="H160" t="str">
            <v>特定環境保全公共下水道</v>
          </cell>
          <cell r="I160" t="str">
            <v>単独</v>
          </cell>
          <cell r="J160" t="str">
            <v>002</v>
          </cell>
          <cell r="K160" t="str">
            <v>追分浄化センター</v>
          </cell>
          <cell r="M160" t="str">
            <v>1</v>
          </cell>
          <cell r="N160" t="str">
            <v>1</v>
          </cell>
          <cell r="Q160">
            <v>37316</v>
          </cell>
          <cell r="R160" t="str">
            <v>平成</v>
          </cell>
          <cell r="S160">
            <v>14</v>
          </cell>
          <cell r="T160">
            <v>3</v>
          </cell>
          <cell r="AB160">
            <v>10000</v>
          </cell>
          <cell r="AC160" t="str">
            <v>安平川</v>
          </cell>
          <cell r="AD160" t="str">
            <v>Ａ</v>
          </cell>
          <cell r="AE160" t="str">
            <v>イ</v>
          </cell>
          <cell r="AF160">
            <v>15</v>
          </cell>
          <cell r="AJ160" t="str">
            <v>安平川</v>
          </cell>
          <cell r="AQ160" t="str">
            <v/>
          </cell>
          <cell r="AR160" t="str">
            <v>オキシディションディッチ法</v>
          </cell>
          <cell r="AS160" t="str">
            <v>0158502002</v>
          </cell>
          <cell r="AT160" t="str">
            <v/>
          </cell>
          <cell r="AU160" t="str">
            <v>10</v>
          </cell>
          <cell r="AV160" t="str">
            <v>10</v>
          </cell>
          <cell r="AW160">
            <v>0</v>
          </cell>
          <cell r="AX160">
            <v>0</v>
          </cell>
          <cell r="AY160">
            <v>0</v>
          </cell>
          <cell r="AZ160">
            <v>0</v>
          </cell>
          <cell r="BA160">
            <v>0</v>
          </cell>
          <cell r="BD160" t="str">
            <v/>
          </cell>
          <cell r="BE160">
            <v>1</v>
          </cell>
          <cell r="BG160" t="str">
            <v>1100</v>
          </cell>
        </row>
        <row r="161">
          <cell r="B161" t="str">
            <v>G015850106100300</v>
          </cell>
          <cell r="C161" t="str">
            <v>01.北海道</v>
          </cell>
          <cell r="D161" t="str">
            <v>585</v>
          </cell>
          <cell r="E161" t="str">
            <v>安平町</v>
          </cell>
          <cell r="F161" t="str">
            <v>01</v>
          </cell>
          <cell r="G161" t="str">
            <v>公共 単独</v>
          </cell>
          <cell r="H161" t="str">
            <v>公共下水道</v>
          </cell>
          <cell r="I161" t="str">
            <v>単独</v>
          </cell>
          <cell r="J161" t="str">
            <v>003</v>
          </cell>
          <cell r="K161" t="str">
            <v>安平浄化センター</v>
          </cell>
          <cell r="M161" t="str">
            <v>1</v>
          </cell>
          <cell r="Q161">
            <v>40999</v>
          </cell>
          <cell r="R161" t="str">
            <v>平成</v>
          </cell>
          <cell r="S161">
            <v>24</v>
          </cell>
          <cell r="T161">
            <v>3</v>
          </cell>
          <cell r="AB161">
            <v>2000</v>
          </cell>
          <cell r="AC161" t="str">
            <v>安平川</v>
          </cell>
          <cell r="AD161" t="str">
            <v>Ａ</v>
          </cell>
          <cell r="AE161" t="str">
            <v>イ</v>
          </cell>
          <cell r="AF161">
            <v>15</v>
          </cell>
          <cell r="AJ161" t="str">
            <v>安平川</v>
          </cell>
          <cell r="AQ161" t="str">
            <v/>
          </cell>
          <cell r="AR161" t="str">
            <v>接触酸化法</v>
          </cell>
          <cell r="AS161" t="str">
            <v>0158501003</v>
          </cell>
          <cell r="AT161">
            <v>1</v>
          </cell>
          <cell r="AU161" t="str">
            <v>00</v>
          </cell>
          <cell r="AV161" t="str">
            <v>00</v>
          </cell>
          <cell r="AW161">
            <v>0</v>
          </cell>
          <cell r="AX161">
            <v>0</v>
          </cell>
          <cell r="AY161">
            <v>0</v>
          </cell>
          <cell r="AZ161">
            <v>0</v>
          </cell>
          <cell r="BA161">
            <v>0</v>
          </cell>
          <cell r="BD161" t="str">
            <v/>
          </cell>
          <cell r="BE161">
            <v>1</v>
          </cell>
          <cell r="BG161" t="str">
            <v>1000</v>
          </cell>
        </row>
        <row r="162">
          <cell r="B162" t="str">
            <v>G015860106100100</v>
          </cell>
          <cell r="C162" t="str">
            <v>01.北海道</v>
          </cell>
          <cell r="D162" t="str">
            <v>586</v>
          </cell>
          <cell r="E162" t="str">
            <v>むかわ町</v>
          </cell>
          <cell r="F162" t="str">
            <v>01</v>
          </cell>
          <cell r="G162" t="str">
            <v>公共 単独</v>
          </cell>
          <cell r="H162" t="str">
            <v>公共下水道</v>
          </cell>
          <cell r="I162" t="str">
            <v>単独</v>
          </cell>
          <cell r="J162" t="str">
            <v>001</v>
          </cell>
          <cell r="K162" t="str">
            <v>むかわ下水処理場</v>
          </cell>
          <cell r="M162" t="str">
            <v>1</v>
          </cell>
          <cell r="N162" t="str">
            <v>1</v>
          </cell>
          <cell r="Q162">
            <v>35520</v>
          </cell>
          <cell r="R162" t="str">
            <v>平成</v>
          </cell>
          <cell r="S162">
            <v>9</v>
          </cell>
          <cell r="T162">
            <v>3</v>
          </cell>
          <cell r="AB162">
            <v>13136</v>
          </cell>
          <cell r="AF162">
            <v>15</v>
          </cell>
          <cell r="AI162" t="str">
            <v>胆振海域</v>
          </cell>
          <cell r="AQ162" t="str">
            <v/>
          </cell>
          <cell r="AR162" t="str">
            <v>オキシディションディッチ法</v>
          </cell>
          <cell r="AS162" t="str">
            <v>0158601001</v>
          </cell>
          <cell r="AT162" t="str">
            <v/>
          </cell>
          <cell r="AU162" t="str">
            <v>10</v>
          </cell>
          <cell r="AV162" t="str">
            <v>10</v>
          </cell>
          <cell r="AW162">
            <v>0</v>
          </cell>
          <cell r="AX162">
            <v>0</v>
          </cell>
          <cell r="AY162">
            <v>0</v>
          </cell>
          <cell r="AZ162">
            <v>0</v>
          </cell>
          <cell r="BA162">
            <v>0</v>
          </cell>
          <cell r="BD162" t="str">
            <v/>
          </cell>
          <cell r="BE162">
            <v>1</v>
          </cell>
          <cell r="BG162" t="str">
            <v>1100</v>
          </cell>
        </row>
        <row r="163">
          <cell r="B163" t="str">
            <v>G016010206100100</v>
          </cell>
          <cell r="C163" t="str">
            <v>01.北海道</v>
          </cell>
          <cell r="D163" t="str">
            <v>601</v>
          </cell>
          <cell r="E163" t="str">
            <v>日高町</v>
          </cell>
          <cell r="F163" t="str">
            <v>02</v>
          </cell>
          <cell r="G163" t="str">
            <v>特環 単独</v>
          </cell>
          <cell r="H163" t="str">
            <v>特定環境保全公共下水道</v>
          </cell>
          <cell r="I163" t="str">
            <v>単独</v>
          </cell>
          <cell r="J163" t="str">
            <v>001</v>
          </cell>
          <cell r="K163" t="str">
            <v>富川浄化センター</v>
          </cell>
          <cell r="M163" t="str">
            <v>1</v>
          </cell>
          <cell r="N163" t="str">
            <v>1</v>
          </cell>
          <cell r="Q163">
            <v>33117</v>
          </cell>
          <cell r="R163" t="str">
            <v>平成</v>
          </cell>
          <cell r="S163">
            <v>2</v>
          </cell>
          <cell r="T163">
            <v>9</v>
          </cell>
          <cell r="AB163">
            <v>13916</v>
          </cell>
          <cell r="AC163" t="str">
            <v>沙流川下流</v>
          </cell>
          <cell r="AD163" t="str">
            <v>Ｂ</v>
          </cell>
          <cell r="AE163" t="str">
            <v>イ</v>
          </cell>
          <cell r="AF163">
            <v>15</v>
          </cell>
          <cell r="AK163" t="str">
            <v>沙流川</v>
          </cell>
          <cell r="AQ163" t="str">
            <v/>
          </cell>
          <cell r="AR163" t="str">
            <v>オキシディションディッチ法</v>
          </cell>
          <cell r="AS163" t="str">
            <v>0160102001</v>
          </cell>
          <cell r="AT163" t="str">
            <v/>
          </cell>
          <cell r="AU163" t="str">
            <v>10</v>
          </cell>
          <cell r="AV163" t="str">
            <v>10</v>
          </cell>
          <cell r="AW163">
            <v>0</v>
          </cell>
          <cell r="AX163">
            <v>0</v>
          </cell>
          <cell r="AY163">
            <v>0</v>
          </cell>
          <cell r="AZ163">
            <v>0</v>
          </cell>
          <cell r="BA163">
            <v>0</v>
          </cell>
          <cell r="BD163" t="str">
            <v/>
          </cell>
          <cell r="BE163">
            <v>1</v>
          </cell>
          <cell r="BG163" t="str">
            <v>1100</v>
          </cell>
        </row>
        <row r="164">
          <cell r="B164" t="str">
            <v>G016010206100200</v>
          </cell>
          <cell r="C164" t="str">
            <v>01.北海道</v>
          </cell>
          <cell r="D164" t="str">
            <v>601</v>
          </cell>
          <cell r="E164" t="str">
            <v>日高町</v>
          </cell>
          <cell r="F164" t="str">
            <v>02</v>
          </cell>
          <cell r="G164" t="str">
            <v>特環 単独</v>
          </cell>
          <cell r="H164" t="str">
            <v>特定環境保全公共下水道</v>
          </cell>
          <cell r="I164" t="str">
            <v>単独</v>
          </cell>
          <cell r="J164" t="str">
            <v>002</v>
          </cell>
          <cell r="K164" t="str">
            <v>日高浄化センター</v>
          </cell>
          <cell r="M164" t="str">
            <v>1</v>
          </cell>
          <cell r="N164" t="str">
            <v>1</v>
          </cell>
          <cell r="Q164">
            <v>34759</v>
          </cell>
          <cell r="R164" t="str">
            <v>平成</v>
          </cell>
          <cell r="S164">
            <v>7</v>
          </cell>
          <cell r="T164">
            <v>3</v>
          </cell>
          <cell r="AB164">
            <v>7027</v>
          </cell>
          <cell r="AC164" t="str">
            <v>沙流川中流</v>
          </cell>
          <cell r="AD164" t="str">
            <v>Ａ</v>
          </cell>
          <cell r="AE164" t="str">
            <v>イ</v>
          </cell>
          <cell r="AF164">
            <v>15</v>
          </cell>
          <cell r="AK164" t="str">
            <v>沙流川水系新川</v>
          </cell>
          <cell r="AQ164" t="str">
            <v/>
          </cell>
          <cell r="AR164" t="str">
            <v>オキシディションディッチ法</v>
          </cell>
          <cell r="AS164" t="str">
            <v>0160102002</v>
          </cell>
          <cell r="AT164" t="str">
            <v/>
          </cell>
          <cell r="AU164" t="str">
            <v>10</v>
          </cell>
          <cell r="AV164" t="str">
            <v>10</v>
          </cell>
          <cell r="AW164">
            <v>0</v>
          </cell>
          <cell r="AX164">
            <v>0</v>
          </cell>
          <cell r="AY164">
            <v>0</v>
          </cell>
          <cell r="AZ164">
            <v>0</v>
          </cell>
          <cell r="BA164">
            <v>0</v>
          </cell>
          <cell r="BD164" t="str">
            <v/>
          </cell>
          <cell r="BE164">
            <v>1</v>
          </cell>
          <cell r="BG164" t="str">
            <v>1100</v>
          </cell>
        </row>
        <row r="165">
          <cell r="B165" t="str">
            <v>G016010206100300</v>
          </cell>
          <cell r="C165" t="str">
            <v>01.北海道</v>
          </cell>
          <cell r="D165" t="str">
            <v>601</v>
          </cell>
          <cell r="E165" t="str">
            <v>日高町</v>
          </cell>
          <cell r="F165" t="str">
            <v>02</v>
          </cell>
          <cell r="G165" t="str">
            <v>特環 単独</v>
          </cell>
          <cell r="H165" t="str">
            <v>特定環境保全公共下水道</v>
          </cell>
          <cell r="I165" t="str">
            <v>単独</v>
          </cell>
          <cell r="J165" t="str">
            <v>003</v>
          </cell>
          <cell r="K165" t="str">
            <v>門別浄化センター</v>
          </cell>
          <cell r="M165" t="str">
            <v>1</v>
          </cell>
          <cell r="N165" t="str">
            <v>1</v>
          </cell>
          <cell r="Q165">
            <v>34973</v>
          </cell>
          <cell r="R165" t="str">
            <v>平成</v>
          </cell>
          <cell r="S165">
            <v>7</v>
          </cell>
          <cell r="T165">
            <v>10</v>
          </cell>
          <cell r="AB165">
            <v>7999</v>
          </cell>
          <cell r="AC165" t="str">
            <v>設定なし</v>
          </cell>
          <cell r="AF165">
            <v>15</v>
          </cell>
          <cell r="AI165" t="str">
            <v>日高海域</v>
          </cell>
          <cell r="AQ165" t="str">
            <v/>
          </cell>
          <cell r="AR165" t="str">
            <v>オキシディションディッチ法</v>
          </cell>
          <cell r="AS165" t="str">
            <v>0160102003</v>
          </cell>
          <cell r="AT165" t="str">
            <v/>
          </cell>
          <cell r="AU165" t="str">
            <v>10</v>
          </cell>
          <cell r="AV165" t="str">
            <v>10</v>
          </cell>
          <cell r="AW165">
            <v>0</v>
          </cell>
          <cell r="AX165">
            <v>0</v>
          </cell>
          <cell r="AY165">
            <v>0</v>
          </cell>
          <cell r="AZ165">
            <v>0</v>
          </cell>
          <cell r="BA165">
            <v>0</v>
          </cell>
          <cell r="BD165" t="str">
            <v/>
          </cell>
          <cell r="BE165">
            <v>1</v>
          </cell>
          <cell r="BG165" t="str">
            <v>1100</v>
          </cell>
        </row>
        <row r="166">
          <cell r="B166" t="str">
            <v>G016070106100100</v>
          </cell>
          <cell r="C166" t="str">
            <v>01.北海道</v>
          </cell>
          <cell r="D166" t="str">
            <v>607</v>
          </cell>
          <cell r="E166" t="str">
            <v>浦河町</v>
          </cell>
          <cell r="F166" t="str">
            <v>01</v>
          </cell>
          <cell r="G166" t="str">
            <v>公共 単独</v>
          </cell>
          <cell r="H166" t="str">
            <v>公共下水道</v>
          </cell>
          <cell r="I166" t="str">
            <v>単独</v>
          </cell>
          <cell r="J166" t="str">
            <v>001</v>
          </cell>
          <cell r="K166" t="str">
            <v>浦河浄化センター</v>
          </cell>
          <cell r="M166" t="str">
            <v>1</v>
          </cell>
          <cell r="N166" t="str">
            <v>1</v>
          </cell>
          <cell r="Q166">
            <v>33878</v>
          </cell>
          <cell r="R166" t="str">
            <v>平成</v>
          </cell>
          <cell r="S166">
            <v>4</v>
          </cell>
          <cell r="T166">
            <v>10</v>
          </cell>
          <cell r="AB166">
            <v>17200</v>
          </cell>
          <cell r="AC166" t="str">
            <v>設定なし</v>
          </cell>
          <cell r="AF166">
            <v>15</v>
          </cell>
          <cell r="AI166" t="str">
            <v>海域</v>
          </cell>
          <cell r="AQ166" t="str">
            <v/>
          </cell>
          <cell r="AR166" t="str">
            <v>オキシディションディッチ法</v>
          </cell>
          <cell r="AS166" t="str">
            <v>0160701001</v>
          </cell>
          <cell r="AT166" t="str">
            <v/>
          </cell>
          <cell r="AU166" t="str">
            <v>10</v>
          </cell>
          <cell r="AV166" t="str">
            <v>10</v>
          </cell>
          <cell r="AW166">
            <v>0</v>
          </cell>
          <cell r="AX166">
            <v>0</v>
          </cell>
          <cell r="AY166">
            <v>0</v>
          </cell>
          <cell r="AZ166">
            <v>0</v>
          </cell>
          <cell r="BA166">
            <v>0</v>
          </cell>
          <cell r="BD166" t="str">
            <v/>
          </cell>
          <cell r="BE166">
            <v>1</v>
          </cell>
          <cell r="BG166" t="str">
            <v>1100</v>
          </cell>
        </row>
        <row r="167">
          <cell r="B167" t="str">
            <v>G016080206100100</v>
          </cell>
          <cell r="C167" t="str">
            <v>01.北海道</v>
          </cell>
          <cell r="D167" t="str">
            <v>608</v>
          </cell>
          <cell r="E167" t="str">
            <v>様似町</v>
          </cell>
          <cell r="F167" t="str">
            <v>02</v>
          </cell>
          <cell r="G167" t="str">
            <v>特環 単独</v>
          </cell>
          <cell r="H167" t="str">
            <v>特定環境保全公共下水道</v>
          </cell>
          <cell r="I167" t="str">
            <v>単独</v>
          </cell>
          <cell r="J167" t="str">
            <v>001</v>
          </cell>
          <cell r="K167" t="str">
            <v>様似下水終末処理場</v>
          </cell>
          <cell r="M167" t="str">
            <v>1</v>
          </cell>
          <cell r="N167" t="str">
            <v>1</v>
          </cell>
          <cell r="Q167">
            <v>36250</v>
          </cell>
          <cell r="R167" t="str">
            <v>平成</v>
          </cell>
          <cell r="S167">
            <v>11</v>
          </cell>
          <cell r="T167">
            <v>3</v>
          </cell>
          <cell r="AB167">
            <v>9000</v>
          </cell>
          <cell r="AC167" t="str">
            <v>設定なし</v>
          </cell>
          <cell r="AF167">
            <v>15</v>
          </cell>
          <cell r="AJ167" t="str">
            <v>様似川</v>
          </cell>
          <cell r="AL167" t="str">
            <v>水源ポンプ場</v>
          </cell>
          <cell r="AM167">
            <v>1.5</v>
          </cell>
          <cell r="AO167" t="str">
            <v>様似町</v>
          </cell>
          <cell r="AQ167" t="str">
            <v/>
          </cell>
          <cell r="AR167" t="str">
            <v>オキシディションディッチ法</v>
          </cell>
          <cell r="AS167" t="str">
            <v>0160802001</v>
          </cell>
          <cell r="AT167" t="str">
            <v/>
          </cell>
          <cell r="AU167" t="str">
            <v>10</v>
          </cell>
          <cell r="AV167" t="str">
            <v>10</v>
          </cell>
          <cell r="AW167">
            <v>0</v>
          </cell>
          <cell r="AX167">
            <v>0</v>
          </cell>
          <cell r="AY167">
            <v>0</v>
          </cell>
          <cell r="AZ167">
            <v>0</v>
          </cell>
          <cell r="BA167">
            <v>0</v>
          </cell>
          <cell r="BD167" t="str">
            <v/>
          </cell>
          <cell r="BE167">
            <v>1</v>
          </cell>
          <cell r="BG167" t="str">
            <v>1100</v>
          </cell>
        </row>
        <row r="168">
          <cell r="B168" t="str">
            <v>G016090206100100</v>
          </cell>
          <cell r="C168" t="str">
            <v>01.北海道</v>
          </cell>
          <cell r="D168" t="str">
            <v>609</v>
          </cell>
          <cell r="E168" t="str">
            <v>えりも町</v>
          </cell>
          <cell r="F168" t="str">
            <v>02</v>
          </cell>
          <cell r="G168" t="str">
            <v>特環 単独</v>
          </cell>
          <cell r="H168" t="str">
            <v>特定環境保全公共下水道</v>
          </cell>
          <cell r="I168" t="str">
            <v>単独</v>
          </cell>
          <cell r="J168" t="str">
            <v>001</v>
          </cell>
          <cell r="K168" t="str">
            <v>えりも町浄化センター</v>
          </cell>
          <cell r="M168" t="str">
            <v>1</v>
          </cell>
          <cell r="N168" t="str">
            <v>1</v>
          </cell>
          <cell r="Q168">
            <v>37346</v>
          </cell>
          <cell r="R168" t="str">
            <v>平成</v>
          </cell>
          <cell r="S168">
            <v>14</v>
          </cell>
          <cell r="T168">
            <v>3</v>
          </cell>
          <cell r="AB168">
            <v>15085</v>
          </cell>
          <cell r="AC168" t="str">
            <v>設定なし</v>
          </cell>
          <cell r="AF168">
            <v>15</v>
          </cell>
          <cell r="AJ168" t="str">
            <v>南部家川</v>
          </cell>
          <cell r="AQ168" t="str">
            <v/>
          </cell>
          <cell r="AR168" t="str">
            <v>オキシディションディッチ法</v>
          </cell>
          <cell r="AS168" t="str">
            <v>0160902001</v>
          </cell>
          <cell r="AT168" t="str">
            <v/>
          </cell>
          <cell r="AU168" t="str">
            <v>10</v>
          </cell>
          <cell r="AV168" t="str">
            <v>10</v>
          </cell>
          <cell r="AW168">
            <v>0</v>
          </cell>
          <cell r="AX168">
            <v>0</v>
          </cell>
          <cell r="AY168">
            <v>0</v>
          </cell>
          <cell r="AZ168">
            <v>0</v>
          </cell>
          <cell r="BA168">
            <v>0</v>
          </cell>
          <cell r="BD168" t="str">
            <v/>
          </cell>
          <cell r="BE168">
            <v>1</v>
          </cell>
          <cell r="BG168" t="str">
            <v>1100</v>
          </cell>
        </row>
        <row r="169">
          <cell r="B169" t="str">
            <v>G016100106100100</v>
          </cell>
          <cell r="C169" t="str">
            <v>01.北海道</v>
          </cell>
          <cell r="D169" t="str">
            <v>610</v>
          </cell>
          <cell r="E169" t="str">
            <v>新ひだか町</v>
          </cell>
          <cell r="F169" t="str">
            <v>01</v>
          </cell>
          <cell r="G169" t="str">
            <v>公共 単独</v>
          </cell>
          <cell r="H169" t="str">
            <v>公共下水道</v>
          </cell>
          <cell r="I169" t="str">
            <v>単独</v>
          </cell>
          <cell r="J169" t="str">
            <v>001</v>
          </cell>
          <cell r="K169" t="str">
            <v>静内終末処理場</v>
          </cell>
          <cell r="M169" t="str">
            <v>1</v>
          </cell>
          <cell r="N169" t="str">
            <v>1</v>
          </cell>
          <cell r="Q169">
            <v>32782</v>
          </cell>
          <cell r="R169" t="str">
            <v>平成</v>
          </cell>
          <cell r="S169">
            <v>1</v>
          </cell>
          <cell r="T169">
            <v>10</v>
          </cell>
          <cell r="AB169">
            <v>21656</v>
          </cell>
          <cell r="AF169">
            <v>15</v>
          </cell>
          <cell r="AI169" t="str">
            <v>古川</v>
          </cell>
          <cell r="AQ169" t="str">
            <v/>
          </cell>
          <cell r="AR169" t="str">
            <v>標準活性汚泥法</v>
          </cell>
          <cell r="AS169" t="str">
            <v>0161001001</v>
          </cell>
          <cell r="AT169" t="str">
            <v/>
          </cell>
          <cell r="AU169" t="str">
            <v>10</v>
          </cell>
          <cell r="AV169" t="str">
            <v>10</v>
          </cell>
          <cell r="AW169">
            <v>0</v>
          </cell>
          <cell r="AX169">
            <v>0</v>
          </cell>
          <cell r="AY169">
            <v>0</v>
          </cell>
          <cell r="AZ169">
            <v>0</v>
          </cell>
          <cell r="BA169">
            <v>0</v>
          </cell>
          <cell r="BD169" t="str">
            <v/>
          </cell>
          <cell r="BE169">
            <v>1</v>
          </cell>
          <cell r="BG169" t="str">
            <v>1100</v>
          </cell>
        </row>
        <row r="170">
          <cell r="B170" t="str">
            <v>G016100206100200</v>
          </cell>
          <cell r="C170" t="str">
            <v>01.北海道</v>
          </cell>
          <cell r="D170" t="str">
            <v>610</v>
          </cell>
          <cell r="E170" t="str">
            <v>新ひだか町</v>
          </cell>
          <cell r="F170" t="str">
            <v>02</v>
          </cell>
          <cell r="G170" t="str">
            <v>特環 単独</v>
          </cell>
          <cell r="H170" t="str">
            <v>特定環境保全公共下水道</v>
          </cell>
          <cell r="I170" t="str">
            <v>単独</v>
          </cell>
          <cell r="J170" t="str">
            <v>002</v>
          </cell>
          <cell r="K170" t="str">
            <v>三石浄化センター</v>
          </cell>
          <cell r="M170" t="str">
            <v>1</v>
          </cell>
          <cell r="N170" t="str">
            <v>1</v>
          </cell>
          <cell r="Q170">
            <v>36586</v>
          </cell>
          <cell r="R170" t="str">
            <v>平成</v>
          </cell>
          <cell r="S170">
            <v>12</v>
          </cell>
          <cell r="T170">
            <v>3</v>
          </cell>
          <cell r="AB170">
            <v>8000</v>
          </cell>
          <cell r="AF170">
            <v>15</v>
          </cell>
          <cell r="AI170" t="str">
            <v>東蓬莱川</v>
          </cell>
          <cell r="AJ170" t="str">
            <v>三石川</v>
          </cell>
          <cell r="AQ170" t="str">
            <v/>
          </cell>
          <cell r="AR170" t="str">
            <v>オキシディションディッチ法</v>
          </cell>
          <cell r="AS170" t="str">
            <v>0161002002</v>
          </cell>
          <cell r="AT170" t="str">
            <v/>
          </cell>
          <cell r="AU170" t="str">
            <v>10</v>
          </cell>
          <cell r="AV170" t="str">
            <v>10</v>
          </cell>
          <cell r="AW170">
            <v>0</v>
          </cell>
          <cell r="AX170">
            <v>0</v>
          </cell>
          <cell r="AY170">
            <v>0</v>
          </cell>
          <cell r="AZ170">
            <v>0</v>
          </cell>
          <cell r="BA170">
            <v>0</v>
          </cell>
          <cell r="BD170" t="str">
            <v/>
          </cell>
          <cell r="BE170">
            <v>1</v>
          </cell>
          <cell r="BG170" t="str">
            <v>1100</v>
          </cell>
        </row>
        <row r="171">
          <cell r="B171" t="str">
            <v>G016310106100100</v>
          </cell>
          <cell r="C171" t="str">
            <v>01.北海道</v>
          </cell>
          <cell r="D171" t="str">
            <v>631</v>
          </cell>
          <cell r="E171" t="str">
            <v>音更町</v>
          </cell>
          <cell r="F171" t="str">
            <v>01</v>
          </cell>
          <cell r="G171" t="str">
            <v>公共 単独</v>
          </cell>
          <cell r="H171" t="str">
            <v>公共下水道</v>
          </cell>
          <cell r="I171" t="str">
            <v>単独</v>
          </cell>
          <cell r="J171" t="str">
            <v>001</v>
          </cell>
          <cell r="K171" t="str">
            <v>十勝川温泉浄化センター</v>
          </cell>
          <cell r="M171" t="str">
            <v>1</v>
          </cell>
          <cell r="N171" t="str">
            <v>1</v>
          </cell>
          <cell r="Q171">
            <v>33298</v>
          </cell>
          <cell r="R171" t="str">
            <v>平成</v>
          </cell>
          <cell r="S171">
            <v>3</v>
          </cell>
          <cell r="T171">
            <v>3</v>
          </cell>
          <cell r="AB171">
            <v>6233</v>
          </cell>
          <cell r="AC171" t="str">
            <v>十勝川</v>
          </cell>
          <cell r="AF171">
            <v>15</v>
          </cell>
          <cell r="AK171" t="str">
            <v>十勝川</v>
          </cell>
          <cell r="AQ171" t="str">
            <v/>
          </cell>
          <cell r="AR171" t="str">
            <v>オキシディションディッチ法</v>
          </cell>
          <cell r="AS171" t="str">
            <v>0163101001</v>
          </cell>
          <cell r="AT171" t="str">
            <v/>
          </cell>
          <cell r="AU171" t="str">
            <v>10</v>
          </cell>
          <cell r="AV171" t="str">
            <v>10</v>
          </cell>
          <cell r="AW171">
            <v>0</v>
          </cell>
          <cell r="AX171">
            <v>0</v>
          </cell>
          <cell r="AY171">
            <v>0</v>
          </cell>
          <cell r="AZ171">
            <v>0</v>
          </cell>
          <cell r="BA171">
            <v>0</v>
          </cell>
          <cell r="BD171" t="str">
            <v/>
          </cell>
          <cell r="BE171">
            <v>1</v>
          </cell>
          <cell r="BG171" t="str">
            <v>1100</v>
          </cell>
        </row>
        <row r="172">
          <cell r="B172" t="str">
            <v>G016320206100100</v>
          </cell>
          <cell r="C172" t="str">
            <v>01.北海道</v>
          </cell>
          <cell r="D172" t="str">
            <v>632</v>
          </cell>
          <cell r="E172" t="str">
            <v>士幌町</v>
          </cell>
          <cell r="F172" t="str">
            <v>02</v>
          </cell>
          <cell r="G172" t="str">
            <v>特環 単独</v>
          </cell>
          <cell r="H172" t="str">
            <v>特定環境保全公共下水道</v>
          </cell>
          <cell r="I172" t="str">
            <v>単独</v>
          </cell>
          <cell r="J172" t="str">
            <v>001</v>
          </cell>
          <cell r="K172" t="str">
            <v>士幌終末処理場</v>
          </cell>
          <cell r="M172" t="str">
            <v>1</v>
          </cell>
          <cell r="N172" t="str">
            <v>1</v>
          </cell>
          <cell r="Q172">
            <v>30407</v>
          </cell>
          <cell r="R172" t="str">
            <v>昭和</v>
          </cell>
          <cell r="S172">
            <v>58</v>
          </cell>
          <cell r="T172">
            <v>4</v>
          </cell>
          <cell r="AB172">
            <v>14967</v>
          </cell>
          <cell r="AC172" t="str">
            <v>十勝川水系</v>
          </cell>
          <cell r="AD172" t="str">
            <v>Ａ</v>
          </cell>
          <cell r="AE172" t="str">
            <v>ロ</v>
          </cell>
          <cell r="AF172">
            <v>15</v>
          </cell>
          <cell r="AK172" t="str">
            <v>音更川</v>
          </cell>
          <cell r="AQ172" t="str">
            <v/>
          </cell>
          <cell r="AR172" t="str">
            <v>標準活性汚泥法</v>
          </cell>
          <cell r="AS172" t="str">
            <v>0163202001</v>
          </cell>
          <cell r="AT172" t="str">
            <v/>
          </cell>
          <cell r="AU172" t="str">
            <v>10</v>
          </cell>
          <cell r="AV172" t="str">
            <v>10</v>
          </cell>
          <cell r="AW172">
            <v>0</v>
          </cell>
          <cell r="AX172">
            <v>0</v>
          </cell>
          <cell r="AY172">
            <v>0</v>
          </cell>
          <cell r="AZ172">
            <v>0</v>
          </cell>
          <cell r="BA172">
            <v>0</v>
          </cell>
          <cell r="BD172" t="str">
            <v/>
          </cell>
          <cell r="BE172">
            <v>1</v>
          </cell>
          <cell r="BG172" t="str">
            <v>1100</v>
          </cell>
        </row>
        <row r="173">
          <cell r="B173" t="str">
            <v>G016330206100100</v>
          </cell>
          <cell r="C173" t="str">
            <v>01.北海道</v>
          </cell>
          <cell r="D173" t="str">
            <v>633</v>
          </cell>
          <cell r="E173" t="str">
            <v>上士幌町</v>
          </cell>
          <cell r="F173" t="str">
            <v>02</v>
          </cell>
          <cell r="G173" t="str">
            <v>特環 単独</v>
          </cell>
          <cell r="H173" t="str">
            <v>特定環境保全公共下水道</v>
          </cell>
          <cell r="I173" t="str">
            <v>単独</v>
          </cell>
          <cell r="J173" t="str">
            <v>001</v>
          </cell>
          <cell r="K173" t="str">
            <v>上士幌下水道管理センター</v>
          </cell>
          <cell r="M173" t="str">
            <v>1</v>
          </cell>
          <cell r="N173" t="str">
            <v>1</v>
          </cell>
          <cell r="Q173">
            <v>35339</v>
          </cell>
          <cell r="R173" t="str">
            <v>平成</v>
          </cell>
          <cell r="S173">
            <v>8</v>
          </cell>
          <cell r="T173">
            <v>10</v>
          </cell>
          <cell r="AB173">
            <v>10058</v>
          </cell>
          <cell r="AC173" t="str">
            <v>音更川下流</v>
          </cell>
          <cell r="AD173" t="str">
            <v>Ａ</v>
          </cell>
          <cell r="AE173" t="str">
            <v>ロ</v>
          </cell>
          <cell r="AF173">
            <v>15</v>
          </cell>
          <cell r="AK173" t="str">
            <v>音更川</v>
          </cell>
          <cell r="AL173" t="str">
            <v>上士幌市街浄水場</v>
          </cell>
          <cell r="AM173">
            <v>5.4</v>
          </cell>
          <cell r="AO173" t="str">
            <v>上士幌町</v>
          </cell>
          <cell r="AQ173" t="str">
            <v/>
          </cell>
          <cell r="AR173" t="str">
            <v>オキシディションディッチ法</v>
          </cell>
          <cell r="AS173" t="str">
            <v>0163302001</v>
          </cell>
          <cell r="AT173" t="str">
            <v/>
          </cell>
          <cell r="AU173" t="str">
            <v>10</v>
          </cell>
          <cell r="AV173" t="str">
            <v>10</v>
          </cell>
          <cell r="AW173">
            <v>0</v>
          </cell>
          <cell r="AX173">
            <v>0</v>
          </cell>
          <cell r="AY173">
            <v>0</v>
          </cell>
          <cell r="AZ173">
            <v>0</v>
          </cell>
          <cell r="BA173">
            <v>0</v>
          </cell>
          <cell r="BD173" t="str">
            <v/>
          </cell>
          <cell r="BE173">
            <v>1</v>
          </cell>
          <cell r="BG173" t="str">
            <v>1100</v>
          </cell>
        </row>
        <row r="174">
          <cell r="B174" t="str">
            <v>G016340206100100</v>
          </cell>
          <cell r="C174" t="str">
            <v>01.北海道</v>
          </cell>
          <cell r="D174" t="str">
            <v>634</v>
          </cell>
          <cell r="E174" t="str">
            <v>鹿追町</v>
          </cell>
          <cell r="F174" t="str">
            <v>02</v>
          </cell>
          <cell r="G174" t="str">
            <v>特環 単独</v>
          </cell>
          <cell r="H174" t="str">
            <v>特定環境保全公共下水道</v>
          </cell>
          <cell r="I174" t="str">
            <v>単独</v>
          </cell>
          <cell r="J174" t="str">
            <v>001</v>
          </cell>
          <cell r="K174" t="str">
            <v>然別湖畔浄化センター</v>
          </cell>
          <cell r="M174" t="str">
            <v>1</v>
          </cell>
          <cell r="N174" t="str">
            <v>1</v>
          </cell>
          <cell r="Q174">
            <v>34759</v>
          </cell>
          <cell r="R174" t="str">
            <v>平成</v>
          </cell>
          <cell r="S174">
            <v>7</v>
          </cell>
          <cell r="T174">
            <v>3</v>
          </cell>
          <cell r="AB174">
            <v>200</v>
          </cell>
          <cell r="AC174" t="str">
            <v>然別川</v>
          </cell>
          <cell r="AD174" t="str">
            <v>ＡＡ</v>
          </cell>
          <cell r="AE174" t="str">
            <v>イ</v>
          </cell>
          <cell r="AF174">
            <v>15</v>
          </cell>
          <cell r="AK174" t="str">
            <v>然別川</v>
          </cell>
          <cell r="AM174">
            <v>2</v>
          </cell>
          <cell r="AP174" t="str">
            <v>ＢＯＤ平成25年３月に15に変更予定</v>
          </cell>
          <cell r="AQ174" t="str">
            <v/>
          </cell>
          <cell r="AR174" t="str">
            <v>回分式活性汚泥法</v>
          </cell>
          <cell r="AS174" t="str">
            <v>0163402001</v>
          </cell>
          <cell r="AT174" t="str">
            <v/>
          </cell>
          <cell r="AU174" t="str">
            <v>10</v>
          </cell>
          <cell r="AV174" t="str">
            <v>10</v>
          </cell>
          <cell r="AW174">
            <v>0</v>
          </cell>
          <cell r="AX174">
            <v>0</v>
          </cell>
          <cell r="AY174">
            <v>0</v>
          </cell>
          <cell r="AZ174">
            <v>0</v>
          </cell>
          <cell r="BA174">
            <v>0</v>
          </cell>
          <cell r="BD174" t="str">
            <v/>
          </cell>
          <cell r="BE174">
            <v>1</v>
          </cell>
          <cell r="BG174" t="str">
            <v>1100</v>
          </cell>
        </row>
        <row r="175">
          <cell r="B175" t="str">
            <v>G016350106100100</v>
          </cell>
          <cell r="C175" t="str">
            <v>01.北海道</v>
          </cell>
          <cell r="D175" t="str">
            <v>635</v>
          </cell>
          <cell r="E175" t="str">
            <v>新得町</v>
          </cell>
          <cell r="F175" t="str">
            <v>01</v>
          </cell>
          <cell r="G175" t="str">
            <v>公共 単独</v>
          </cell>
          <cell r="H175" t="str">
            <v>公共下水道</v>
          </cell>
          <cell r="I175" t="str">
            <v>単独</v>
          </cell>
          <cell r="J175" t="str">
            <v>001</v>
          </cell>
          <cell r="K175" t="str">
            <v>新得終末処理場</v>
          </cell>
          <cell r="M175" t="str">
            <v>1</v>
          </cell>
          <cell r="N175" t="str">
            <v>1</v>
          </cell>
          <cell r="Q175">
            <v>31656</v>
          </cell>
          <cell r="R175" t="str">
            <v>昭和</v>
          </cell>
          <cell r="S175">
            <v>61</v>
          </cell>
          <cell r="T175">
            <v>9</v>
          </cell>
          <cell r="AB175">
            <v>13090</v>
          </cell>
          <cell r="AC175" t="str">
            <v>佐幌川</v>
          </cell>
          <cell r="AD175" t="str">
            <v>Ａ-1</v>
          </cell>
          <cell r="AF175">
            <v>15</v>
          </cell>
          <cell r="AK175" t="str">
            <v>佐幌川</v>
          </cell>
          <cell r="AQ175" t="str">
            <v/>
          </cell>
          <cell r="AR175" t="str">
            <v>オキシディションディッチ法</v>
          </cell>
          <cell r="AS175" t="str">
            <v>0163501001</v>
          </cell>
          <cell r="AT175" t="str">
            <v/>
          </cell>
          <cell r="AU175" t="str">
            <v>10</v>
          </cell>
          <cell r="AV175" t="str">
            <v>10</v>
          </cell>
          <cell r="AW175">
            <v>0</v>
          </cell>
          <cell r="AX175">
            <v>0</v>
          </cell>
          <cell r="AY175">
            <v>0</v>
          </cell>
          <cell r="AZ175">
            <v>0</v>
          </cell>
          <cell r="BA175">
            <v>0</v>
          </cell>
          <cell r="BD175" t="str">
            <v/>
          </cell>
          <cell r="BE175">
            <v>1</v>
          </cell>
          <cell r="BG175" t="str">
            <v>1100</v>
          </cell>
        </row>
        <row r="176">
          <cell r="B176" t="str">
            <v>G016350106100200</v>
          </cell>
          <cell r="C176" t="str">
            <v>01.北海道</v>
          </cell>
          <cell r="D176" t="str">
            <v>635</v>
          </cell>
          <cell r="E176" t="str">
            <v>新得町</v>
          </cell>
          <cell r="F176" t="str">
            <v>01</v>
          </cell>
          <cell r="G176" t="str">
            <v>公共 単独</v>
          </cell>
          <cell r="H176" t="str">
            <v>公共下水道</v>
          </cell>
          <cell r="I176" t="str">
            <v>単独</v>
          </cell>
          <cell r="J176" t="str">
            <v>002</v>
          </cell>
          <cell r="K176" t="str">
            <v>屈足終末処理場</v>
          </cell>
          <cell r="M176" t="str">
            <v>1</v>
          </cell>
          <cell r="N176" t="str">
            <v>1</v>
          </cell>
          <cell r="Q176">
            <v>34973</v>
          </cell>
          <cell r="R176" t="str">
            <v>平成</v>
          </cell>
          <cell r="S176">
            <v>7</v>
          </cell>
          <cell r="T176">
            <v>10</v>
          </cell>
          <cell r="AB176">
            <v>6724</v>
          </cell>
          <cell r="AC176" t="str">
            <v>十勝川</v>
          </cell>
          <cell r="AD176" t="str">
            <v>ＡＡ</v>
          </cell>
          <cell r="AE176" t="str">
            <v>イ</v>
          </cell>
          <cell r="AF176">
            <v>15</v>
          </cell>
          <cell r="AK176" t="str">
            <v>十勝川</v>
          </cell>
          <cell r="AQ176" t="str">
            <v/>
          </cell>
          <cell r="AR176" t="str">
            <v>オキシディションディッチ法</v>
          </cell>
          <cell r="AS176" t="str">
            <v>0163501002</v>
          </cell>
          <cell r="AT176" t="str">
            <v/>
          </cell>
          <cell r="AU176" t="str">
            <v>10</v>
          </cell>
          <cell r="AV176" t="str">
            <v>10</v>
          </cell>
          <cell r="AW176">
            <v>0</v>
          </cell>
          <cell r="AX176">
            <v>0</v>
          </cell>
          <cell r="AY176">
            <v>0</v>
          </cell>
          <cell r="AZ176">
            <v>0</v>
          </cell>
          <cell r="BA176">
            <v>0</v>
          </cell>
          <cell r="BD176" t="str">
            <v/>
          </cell>
          <cell r="BE176">
            <v>1</v>
          </cell>
          <cell r="BG176" t="str">
            <v>1100</v>
          </cell>
        </row>
        <row r="177">
          <cell r="B177" t="str">
            <v>G016360106100100</v>
          </cell>
          <cell r="C177" t="str">
            <v>01.北海道</v>
          </cell>
          <cell r="D177" t="str">
            <v>636</v>
          </cell>
          <cell r="E177" t="str">
            <v>清水町</v>
          </cell>
          <cell r="F177" t="str">
            <v>01</v>
          </cell>
          <cell r="G177" t="str">
            <v>公共 単独</v>
          </cell>
          <cell r="H177" t="str">
            <v>公共下水道</v>
          </cell>
          <cell r="I177" t="str">
            <v>単独</v>
          </cell>
          <cell r="J177" t="str">
            <v>001</v>
          </cell>
          <cell r="K177" t="str">
            <v>清水下水終末処理場</v>
          </cell>
          <cell r="M177" t="str">
            <v>1</v>
          </cell>
          <cell r="N177" t="str">
            <v>1</v>
          </cell>
          <cell r="O177" t="str">
            <v>1</v>
          </cell>
          <cell r="Q177">
            <v>31656</v>
          </cell>
          <cell r="R177" t="str">
            <v>昭和</v>
          </cell>
          <cell r="S177">
            <v>61</v>
          </cell>
          <cell r="T177">
            <v>9</v>
          </cell>
          <cell r="AB177">
            <v>18363</v>
          </cell>
          <cell r="AC177" t="str">
            <v>十勝川</v>
          </cell>
          <cell r="AD177" t="str">
            <v>Ｂ</v>
          </cell>
          <cell r="AE177" t="str">
            <v>イ</v>
          </cell>
          <cell r="AF177">
            <v>15</v>
          </cell>
          <cell r="AK177" t="str">
            <v>佐幌川</v>
          </cell>
          <cell r="AQ177" t="str">
            <v/>
          </cell>
          <cell r="AR177" t="str">
            <v>オキシディションディッチ法</v>
          </cell>
          <cell r="AS177" t="str">
            <v>0163601001</v>
          </cell>
          <cell r="AT177" t="str">
            <v/>
          </cell>
          <cell r="AU177" t="str">
            <v>11</v>
          </cell>
          <cell r="AV177" t="str">
            <v>10</v>
          </cell>
          <cell r="AW177">
            <v>0</v>
          </cell>
          <cell r="AX177">
            <v>0</v>
          </cell>
          <cell r="AY177">
            <v>-1</v>
          </cell>
          <cell r="AZ177">
            <v>0</v>
          </cell>
          <cell r="BA177">
            <v>1</v>
          </cell>
          <cell r="BC177" t="str">
            <v>コンポスト休止</v>
          </cell>
          <cell r="BD177" t="str">
            <v>コンポスト休止</v>
          </cell>
          <cell r="BE177">
            <v>1</v>
          </cell>
          <cell r="BG177" t="str">
            <v>1110</v>
          </cell>
        </row>
        <row r="178">
          <cell r="B178" t="str">
            <v>G016380206100100</v>
          </cell>
          <cell r="C178" t="str">
            <v>01.北海道</v>
          </cell>
          <cell r="D178" t="str">
            <v>638</v>
          </cell>
          <cell r="E178" t="str">
            <v>中札内村</v>
          </cell>
          <cell r="F178" t="str">
            <v>02</v>
          </cell>
          <cell r="G178" t="str">
            <v>特環 単独</v>
          </cell>
          <cell r="H178" t="str">
            <v>特定環境保全公共下水道</v>
          </cell>
          <cell r="I178" t="str">
            <v>単独</v>
          </cell>
          <cell r="J178" t="str">
            <v>001</v>
          </cell>
          <cell r="K178" t="str">
            <v>中札内浄化センター</v>
          </cell>
          <cell r="M178" t="str">
            <v>1</v>
          </cell>
          <cell r="N178" t="str">
            <v>1</v>
          </cell>
          <cell r="Q178">
            <v>35521</v>
          </cell>
          <cell r="R178" t="str">
            <v>平成</v>
          </cell>
          <cell r="S178">
            <v>9</v>
          </cell>
          <cell r="T178">
            <v>4</v>
          </cell>
          <cell r="AB178">
            <v>10000</v>
          </cell>
          <cell r="AC178" t="str">
            <v>十勝川水系札内川上流</v>
          </cell>
          <cell r="AD178" t="str">
            <v>ＡＡ</v>
          </cell>
          <cell r="AE178" t="str">
            <v>イ</v>
          </cell>
          <cell r="AF178">
            <v>15</v>
          </cell>
          <cell r="AI178" t="str">
            <v>恵津美川</v>
          </cell>
          <cell r="AK178" t="str">
            <v>札内川</v>
          </cell>
          <cell r="AN178">
            <v>20</v>
          </cell>
          <cell r="AO178" t="str">
            <v>帯広市</v>
          </cell>
          <cell r="AQ178" t="str">
            <v/>
          </cell>
          <cell r="AR178" t="str">
            <v>オキシディションディッチ法</v>
          </cell>
          <cell r="AS178" t="str">
            <v>0163802001</v>
          </cell>
          <cell r="AT178" t="str">
            <v/>
          </cell>
          <cell r="AU178" t="str">
            <v>10</v>
          </cell>
          <cell r="AV178" t="str">
            <v>10</v>
          </cell>
          <cell r="AW178">
            <v>0</v>
          </cell>
          <cell r="AX178">
            <v>0</v>
          </cell>
          <cell r="AY178">
            <v>0</v>
          </cell>
          <cell r="AZ178">
            <v>0</v>
          </cell>
          <cell r="BA178">
            <v>0</v>
          </cell>
          <cell r="BD178" t="str">
            <v/>
          </cell>
          <cell r="BE178">
            <v>1</v>
          </cell>
          <cell r="BG178" t="str">
            <v>1100</v>
          </cell>
        </row>
        <row r="179">
          <cell r="B179" t="str">
            <v>G016390206100100</v>
          </cell>
          <cell r="C179" t="str">
            <v>01.北海道</v>
          </cell>
          <cell r="D179" t="str">
            <v>639</v>
          </cell>
          <cell r="E179" t="str">
            <v>更別村</v>
          </cell>
          <cell r="F179" t="str">
            <v>02</v>
          </cell>
          <cell r="G179" t="str">
            <v>特環 単独</v>
          </cell>
          <cell r="H179" t="str">
            <v>特定環境保全公共下水道</v>
          </cell>
          <cell r="I179" t="str">
            <v>単独</v>
          </cell>
          <cell r="J179" t="str">
            <v>001</v>
          </cell>
          <cell r="K179" t="str">
            <v>更別浄化センター</v>
          </cell>
          <cell r="M179" t="str">
            <v>1</v>
          </cell>
          <cell r="N179" t="str">
            <v>1</v>
          </cell>
          <cell r="Q179">
            <v>37165</v>
          </cell>
          <cell r="R179" t="str">
            <v>平成</v>
          </cell>
          <cell r="S179">
            <v>13</v>
          </cell>
          <cell r="T179">
            <v>10</v>
          </cell>
          <cell r="AB179">
            <v>6500</v>
          </cell>
          <cell r="AF179">
            <v>15</v>
          </cell>
          <cell r="AK179" t="str">
            <v>サッチャルベツ川</v>
          </cell>
          <cell r="AQ179" t="str">
            <v/>
          </cell>
          <cell r="AR179" t="str">
            <v>オキシディションディッチ法</v>
          </cell>
          <cell r="AS179" t="str">
            <v>0163902001</v>
          </cell>
          <cell r="AT179" t="str">
            <v/>
          </cell>
          <cell r="AU179" t="str">
            <v>10</v>
          </cell>
          <cell r="AV179" t="str">
            <v>10</v>
          </cell>
          <cell r="AW179">
            <v>0</v>
          </cell>
          <cell r="AX179">
            <v>0</v>
          </cell>
          <cell r="AY179">
            <v>0</v>
          </cell>
          <cell r="AZ179">
            <v>0</v>
          </cell>
          <cell r="BA179">
            <v>0</v>
          </cell>
          <cell r="BD179" t="str">
            <v/>
          </cell>
          <cell r="BE179">
            <v>1</v>
          </cell>
          <cell r="BG179" t="str">
            <v>1100</v>
          </cell>
        </row>
        <row r="180">
          <cell r="B180" t="str">
            <v>G016410106100100</v>
          </cell>
          <cell r="C180" t="str">
            <v>01.北海道</v>
          </cell>
          <cell r="D180" t="str">
            <v>641</v>
          </cell>
          <cell r="E180" t="str">
            <v>大樹町</v>
          </cell>
          <cell r="F180" t="str">
            <v>01</v>
          </cell>
          <cell r="G180" t="str">
            <v>公共 単独</v>
          </cell>
          <cell r="H180" t="str">
            <v>公共下水道</v>
          </cell>
          <cell r="I180" t="str">
            <v>単独</v>
          </cell>
          <cell r="J180" t="str">
            <v>001</v>
          </cell>
          <cell r="K180" t="str">
            <v>大樹下水終末処理場</v>
          </cell>
          <cell r="M180" t="str">
            <v>1</v>
          </cell>
          <cell r="N180" t="str">
            <v>1</v>
          </cell>
          <cell r="Q180">
            <v>35339</v>
          </cell>
          <cell r="R180" t="str">
            <v>平成</v>
          </cell>
          <cell r="S180">
            <v>8</v>
          </cell>
          <cell r="T180">
            <v>10</v>
          </cell>
          <cell r="AB180">
            <v>10300</v>
          </cell>
          <cell r="AC180" t="str">
            <v>歴舟川</v>
          </cell>
          <cell r="AD180" t="str">
            <v>Ａ</v>
          </cell>
          <cell r="AE180" t="str">
            <v>イ</v>
          </cell>
          <cell r="AF180">
            <v>15</v>
          </cell>
          <cell r="AJ180" t="str">
            <v>歴舟川</v>
          </cell>
          <cell r="AL180" t="str">
            <v>坂下</v>
          </cell>
          <cell r="AM180">
            <v>18.5</v>
          </cell>
          <cell r="AO180" t="str">
            <v>大樹町</v>
          </cell>
          <cell r="AQ180" t="str">
            <v/>
          </cell>
          <cell r="AR180" t="str">
            <v>オキシディションディッチ法</v>
          </cell>
          <cell r="AS180" t="str">
            <v>0164101001</v>
          </cell>
          <cell r="AT180" t="str">
            <v/>
          </cell>
          <cell r="AU180" t="str">
            <v>10</v>
          </cell>
          <cell r="AV180" t="str">
            <v>10</v>
          </cell>
          <cell r="AW180">
            <v>0</v>
          </cell>
          <cell r="AX180">
            <v>0</v>
          </cell>
          <cell r="AY180">
            <v>0</v>
          </cell>
          <cell r="AZ180">
            <v>0</v>
          </cell>
          <cell r="BA180">
            <v>0</v>
          </cell>
          <cell r="BD180" t="str">
            <v/>
          </cell>
          <cell r="BE180">
            <v>1</v>
          </cell>
          <cell r="BG180" t="str">
            <v>1100</v>
          </cell>
        </row>
        <row r="181">
          <cell r="B181" t="str">
            <v>G016420106100100</v>
          </cell>
          <cell r="C181" t="str">
            <v>01.北海道</v>
          </cell>
          <cell r="D181" t="str">
            <v>642</v>
          </cell>
          <cell r="E181" t="str">
            <v>広尾町</v>
          </cell>
          <cell r="F181" t="str">
            <v>01</v>
          </cell>
          <cell r="G181" t="str">
            <v>公共 単独</v>
          </cell>
          <cell r="H181" t="str">
            <v>公共下水道</v>
          </cell>
          <cell r="I181" t="str">
            <v>単独</v>
          </cell>
          <cell r="J181" t="str">
            <v>001</v>
          </cell>
          <cell r="K181" t="str">
            <v>広尾下水終末処理場</v>
          </cell>
          <cell r="M181" t="str">
            <v>1</v>
          </cell>
          <cell r="N181" t="str">
            <v>1</v>
          </cell>
          <cell r="O181" t="str">
            <v>1</v>
          </cell>
          <cell r="Q181">
            <v>32325</v>
          </cell>
          <cell r="R181" t="str">
            <v>昭和</v>
          </cell>
          <cell r="S181">
            <v>63</v>
          </cell>
          <cell r="T181">
            <v>7</v>
          </cell>
          <cell r="AB181">
            <v>39927</v>
          </cell>
          <cell r="AC181" t="str">
            <v>十勝海域（３）</v>
          </cell>
          <cell r="AD181" t="str">
            <v>Ａ</v>
          </cell>
          <cell r="AE181" t="str">
            <v>イ</v>
          </cell>
          <cell r="AF181">
            <v>15</v>
          </cell>
          <cell r="AI181" t="str">
            <v>十勝海域</v>
          </cell>
          <cell r="AQ181" t="str">
            <v/>
          </cell>
          <cell r="AR181" t="str">
            <v>オキシディションディッチ法</v>
          </cell>
          <cell r="AS181" t="str">
            <v>0164201001</v>
          </cell>
          <cell r="AT181" t="str">
            <v/>
          </cell>
          <cell r="AU181" t="str">
            <v>11</v>
          </cell>
          <cell r="AV181" t="str">
            <v>11</v>
          </cell>
          <cell r="AW181">
            <v>0</v>
          </cell>
          <cell r="AX181">
            <v>0</v>
          </cell>
          <cell r="AY181">
            <v>0</v>
          </cell>
          <cell r="AZ181">
            <v>0</v>
          </cell>
          <cell r="BA181">
            <v>0</v>
          </cell>
          <cell r="BD181" t="str">
            <v/>
          </cell>
          <cell r="BE181">
            <v>1</v>
          </cell>
          <cell r="BG181" t="str">
            <v>1110</v>
          </cell>
        </row>
        <row r="182">
          <cell r="B182" t="str">
            <v>G016430106100100</v>
          </cell>
          <cell r="C182" t="str">
            <v>01.北海道</v>
          </cell>
          <cell r="D182" t="str">
            <v>643</v>
          </cell>
          <cell r="E182" t="str">
            <v>幕別町</v>
          </cell>
          <cell r="F182" t="str">
            <v>01</v>
          </cell>
          <cell r="G182" t="str">
            <v>公共 単独</v>
          </cell>
          <cell r="H182" t="str">
            <v>公共下水道</v>
          </cell>
          <cell r="I182" t="str">
            <v>単独</v>
          </cell>
          <cell r="J182" t="str">
            <v>001</v>
          </cell>
          <cell r="K182" t="str">
            <v>幕別町浄化センター</v>
          </cell>
          <cell r="M182" t="str">
            <v>1</v>
          </cell>
          <cell r="N182" t="str">
            <v>1</v>
          </cell>
          <cell r="Q182">
            <v>30803</v>
          </cell>
          <cell r="R182" t="str">
            <v>昭和</v>
          </cell>
          <cell r="S182">
            <v>59</v>
          </cell>
          <cell r="T182">
            <v>5</v>
          </cell>
          <cell r="AB182">
            <v>31100</v>
          </cell>
          <cell r="AC182" t="str">
            <v>十勝川水系猿別川</v>
          </cell>
          <cell r="AD182" t="str">
            <v>Ａ</v>
          </cell>
          <cell r="AE182" t="str">
            <v>イ</v>
          </cell>
          <cell r="AF182">
            <v>15</v>
          </cell>
          <cell r="AK182" t="str">
            <v>猿別川</v>
          </cell>
          <cell r="AL182" t="str">
            <v>新和浄水場</v>
          </cell>
          <cell r="AM182">
            <v>15</v>
          </cell>
          <cell r="AO182" t="str">
            <v>幕別町</v>
          </cell>
          <cell r="AQ182" t="str">
            <v/>
          </cell>
          <cell r="AR182" t="str">
            <v>標準活性汚泥法</v>
          </cell>
          <cell r="AS182" t="str">
            <v>0164301001</v>
          </cell>
          <cell r="AT182" t="str">
            <v/>
          </cell>
          <cell r="AU182" t="str">
            <v>10</v>
          </cell>
          <cell r="AV182" t="str">
            <v>10</v>
          </cell>
          <cell r="AW182">
            <v>0</v>
          </cell>
          <cell r="AX182">
            <v>0</v>
          </cell>
          <cell r="AY182">
            <v>0</v>
          </cell>
          <cell r="AZ182">
            <v>0</v>
          </cell>
          <cell r="BA182">
            <v>0</v>
          </cell>
          <cell r="BD182" t="str">
            <v/>
          </cell>
          <cell r="BE182">
            <v>1</v>
          </cell>
          <cell r="BG182" t="str">
            <v>1100</v>
          </cell>
        </row>
        <row r="183">
          <cell r="B183" t="str">
            <v>G016440106100100</v>
          </cell>
          <cell r="C183" t="str">
            <v>01.北海道</v>
          </cell>
          <cell r="D183" t="str">
            <v>644</v>
          </cell>
          <cell r="E183" t="str">
            <v>池田町</v>
          </cell>
          <cell r="F183" t="str">
            <v>01</v>
          </cell>
          <cell r="G183" t="str">
            <v>公共 単独</v>
          </cell>
          <cell r="H183" t="str">
            <v>公共下水道</v>
          </cell>
          <cell r="I183" t="str">
            <v>単独</v>
          </cell>
          <cell r="J183" t="str">
            <v>001</v>
          </cell>
          <cell r="K183" t="str">
            <v>池田町下水道管理センター</v>
          </cell>
          <cell r="M183" t="str">
            <v>1</v>
          </cell>
          <cell r="N183" t="str">
            <v>1</v>
          </cell>
          <cell r="O183" t="str">
            <v>1</v>
          </cell>
          <cell r="Q183">
            <v>31137</v>
          </cell>
          <cell r="R183" t="str">
            <v>昭和</v>
          </cell>
          <cell r="S183">
            <v>60</v>
          </cell>
          <cell r="T183">
            <v>3</v>
          </cell>
          <cell r="AB183">
            <v>52030</v>
          </cell>
          <cell r="AC183" t="str">
            <v>十勝川水系利別川</v>
          </cell>
          <cell r="AD183" t="str">
            <v>Ａ</v>
          </cell>
          <cell r="AE183" t="str">
            <v>イ</v>
          </cell>
          <cell r="AF183">
            <v>15</v>
          </cell>
          <cell r="AK183" t="str">
            <v>清見二線川</v>
          </cell>
          <cell r="AQ183" t="str">
            <v/>
          </cell>
          <cell r="AR183" t="str">
            <v>標準活性汚泥法</v>
          </cell>
          <cell r="AS183" t="str">
            <v>0164401001</v>
          </cell>
          <cell r="AT183" t="str">
            <v/>
          </cell>
          <cell r="AU183" t="str">
            <v>11</v>
          </cell>
          <cell r="AV183" t="str">
            <v>10</v>
          </cell>
          <cell r="AW183">
            <v>0</v>
          </cell>
          <cell r="AX183">
            <v>0</v>
          </cell>
          <cell r="AY183">
            <v>-1</v>
          </cell>
          <cell r="AZ183">
            <v>0</v>
          </cell>
          <cell r="BA183">
            <v>1</v>
          </cell>
          <cell r="BC183" t="str">
            <v>コンポスト休止</v>
          </cell>
          <cell r="BD183" t="str">
            <v>コンポスト休止</v>
          </cell>
          <cell r="BE183">
            <v>1</v>
          </cell>
          <cell r="BG183" t="str">
            <v>1110</v>
          </cell>
        </row>
        <row r="184">
          <cell r="B184" t="str">
            <v>G016450206100100</v>
          </cell>
          <cell r="C184" t="str">
            <v>01.北海道</v>
          </cell>
          <cell r="D184" t="str">
            <v>645</v>
          </cell>
          <cell r="E184" t="str">
            <v>豊頃町</v>
          </cell>
          <cell r="F184" t="str">
            <v>02</v>
          </cell>
          <cell r="G184" t="str">
            <v>特環 単独</v>
          </cell>
          <cell r="H184" t="str">
            <v>特定環境保全公共下水道</v>
          </cell>
          <cell r="I184" t="str">
            <v>単独</v>
          </cell>
          <cell r="J184" t="str">
            <v>001</v>
          </cell>
          <cell r="K184" t="str">
            <v>大津下水浄化センター</v>
          </cell>
          <cell r="M184" t="str">
            <v>1</v>
          </cell>
          <cell r="N184" t="str">
            <v>1</v>
          </cell>
          <cell r="Q184">
            <v>34827</v>
          </cell>
          <cell r="R184" t="str">
            <v>平成</v>
          </cell>
          <cell r="S184">
            <v>7</v>
          </cell>
          <cell r="T184">
            <v>5</v>
          </cell>
          <cell r="AB184">
            <v>6332</v>
          </cell>
          <cell r="AF184">
            <v>15</v>
          </cell>
          <cell r="AI184" t="str">
            <v>大津新川</v>
          </cell>
          <cell r="AQ184" t="str">
            <v/>
          </cell>
          <cell r="AR184" t="str">
            <v>オキシディションディッチ法</v>
          </cell>
          <cell r="AS184" t="str">
            <v>0164502001</v>
          </cell>
          <cell r="AT184" t="str">
            <v/>
          </cell>
          <cell r="AU184" t="str">
            <v>10</v>
          </cell>
          <cell r="AV184" t="str">
            <v>10</v>
          </cell>
          <cell r="AW184">
            <v>0</v>
          </cell>
          <cell r="AX184">
            <v>0</v>
          </cell>
          <cell r="AY184">
            <v>0</v>
          </cell>
          <cell r="AZ184">
            <v>0</v>
          </cell>
          <cell r="BA184">
            <v>0</v>
          </cell>
          <cell r="BD184" t="str">
            <v/>
          </cell>
          <cell r="BE184">
            <v>1</v>
          </cell>
          <cell r="BG184" t="str">
            <v>1100</v>
          </cell>
        </row>
        <row r="185">
          <cell r="B185" t="str">
            <v>G016450206100200</v>
          </cell>
          <cell r="C185" t="str">
            <v>01.北海道</v>
          </cell>
          <cell r="D185" t="str">
            <v>645</v>
          </cell>
          <cell r="E185" t="str">
            <v>豊頃町</v>
          </cell>
          <cell r="F185" t="str">
            <v>02</v>
          </cell>
          <cell r="G185" t="str">
            <v>特環 単独</v>
          </cell>
          <cell r="H185" t="str">
            <v>特定環境保全公共下水道</v>
          </cell>
          <cell r="I185" t="str">
            <v>単独</v>
          </cell>
          <cell r="J185" t="str">
            <v>002</v>
          </cell>
          <cell r="K185" t="str">
            <v>茂岩下水浄化センター</v>
          </cell>
          <cell r="M185" t="str">
            <v>1</v>
          </cell>
          <cell r="N185" t="str">
            <v>1</v>
          </cell>
          <cell r="Q185">
            <v>35177</v>
          </cell>
          <cell r="R185" t="str">
            <v>平成</v>
          </cell>
          <cell r="S185">
            <v>8</v>
          </cell>
          <cell r="T185">
            <v>4</v>
          </cell>
          <cell r="AB185">
            <v>9900</v>
          </cell>
          <cell r="AF185">
            <v>15</v>
          </cell>
          <cell r="AI185" t="str">
            <v>中央川</v>
          </cell>
          <cell r="AQ185" t="str">
            <v/>
          </cell>
          <cell r="AR185" t="str">
            <v>オキシディションディッチ法</v>
          </cell>
          <cell r="AS185" t="str">
            <v>0164502002</v>
          </cell>
          <cell r="AT185" t="str">
            <v/>
          </cell>
          <cell r="AU185" t="str">
            <v>10</v>
          </cell>
          <cell r="AV185" t="str">
            <v>10</v>
          </cell>
          <cell r="AW185">
            <v>0</v>
          </cell>
          <cell r="AX185">
            <v>0</v>
          </cell>
          <cell r="AY185">
            <v>0</v>
          </cell>
          <cell r="AZ185">
            <v>0</v>
          </cell>
          <cell r="BA185">
            <v>0</v>
          </cell>
          <cell r="BD185" t="str">
            <v/>
          </cell>
          <cell r="BE185">
            <v>1</v>
          </cell>
          <cell r="BG185" t="str">
            <v>1100</v>
          </cell>
        </row>
        <row r="186">
          <cell r="B186" t="str">
            <v>G016460106100100</v>
          </cell>
          <cell r="C186" t="str">
            <v>01.北海道</v>
          </cell>
          <cell r="D186" t="str">
            <v>646</v>
          </cell>
          <cell r="E186" t="str">
            <v>本別町</v>
          </cell>
          <cell r="F186" t="str">
            <v>01</v>
          </cell>
          <cell r="G186" t="str">
            <v>公共 単独</v>
          </cell>
          <cell r="H186" t="str">
            <v>公共下水道</v>
          </cell>
          <cell r="I186" t="str">
            <v>単独</v>
          </cell>
          <cell r="J186" t="str">
            <v>001</v>
          </cell>
          <cell r="K186" t="str">
            <v>本別町下水道管理センター</v>
          </cell>
          <cell r="M186" t="str">
            <v>1</v>
          </cell>
          <cell r="N186" t="str">
            <v>1</v>
          </cell>
          <cell r="Q186">
            <v>33298</v>
          </cell>
          <cell r="R186" t="str">
            <v>平成</v>
          </cell>
          <cell r="S186">
            <v>3</v>
          </cell>
          <cell r="T186">
            <v>3</v>
          </cell>
          <cell r="AB186">
            <v>13423</v>
          </cell>
          <cell r="AC186" t="str">
            <v>利別川</v>
          </cell>
          <cell r="AD186" t="str">
            <v>Ａ</v>
          </cell>
          <cell r="AE186" t="str">
            <v>イ</v>
          </cell>
          <cell r="AI186" t="str">
            <v>ペンケキロロ川</v>
          </cell>
          <cell r="AK186" t="str">
            <v>利別川</v>
          </cell>
          <cell r="AQ186" t="str">
            <v/>
          </cell>
          <cell r="AR186" t="str">
            <v>オキシディションディッチ法</v>
          </cell>
          <cell r="AS186" t="str">
            <v>0164601001</v>
          </cell>
          <cell r="AT186" t="str">
            <v/>
          </cell>
          <cell r="AU186" t="str">
            <v>10</v>
          </cell>
          <cell r="AV186" t="str">
            <v>10</v>
          </cell>
          <cell r="AW186">
            <v>0</v>
          </cell>
          <cell r="AX186">
            <v>0</v>
          </cell>
          <cell r="AY186">
            <v>0</v>
          </cell>
          <cell r="AZ186">
            <v>0</v>
          </cell>
          <cell r="BA186">
            <v>0</v>
          </cell>
          <cell r="BD186" t="str">
            <v/>
          </cell>
          <cell r="BE186">
            <v>1</v>
          </cell>
          <cell r="BG186" t="str">
            <v>1100</v>
          </cell>
        </row>
        <row r="187">
          <cell r="B187" t="str">
            <v>G016470106100100</v>
          </cell>
          <cell r="C187" t="str">
            <v>01.北海道</v>
          </cell>
          <cell r="D187" t="str">
            <v>647</v>
          </cell>
          <cell r="E187" t="str">
            <v>足寄町</v>
          </cell>
          <cell r="F187" t="str">
            <v>01</v>
          </cell>
          <cell r="G187" t="str">
            <v>公共 単独</v>
          </cell>
          <cell r="H187" t="str">
            <v>公共下水道</v>
          </cell>
          <cell r="I187" t="str">
            <v>単独</v>
          </cell>
          <cell r="J187" t="str">
            <v>001</v>
          </cell>
          <cell r="K187" t="str">
            <v>足寄下水終末処理場</v>
          </cell>
          <cell r="M187" t="str">
            <v>1</v>
          </cell>
          <cell r="N187" t="str">
            <v>1</v>
          </cell>
          <cell r="Q187">
            <v>36800</v>
          </cell>
          <cell r="R187" t="str">
            <v>平成</v>
          </cell>
          <cell r="S187">
            <v>12</v>
          </cell>
          <cell r="T187">
            <v>10</v>
          </cell>
          <cell r="AB187">
            <v>16000</v>
          </cell>
          <cell r="AC187" t="str">
            <v>利別川</v>
          </cell>
          <cell r="AD187" t="str">
            <v>Ａ</v>
          </cell>
          <cell r="AE187" t="str">
            <v>イ</v>
          </cell>
          <cell r="AF187">
            <v>15</v>
          </cell>
          <cell r="AK187" t="str">
            <v>利別川</v>
          </cell>
          <cell r="AQ187" t="str">
            <v/>
          </cell>
          <cell r="AR187" t="str">
            <v>オキシディションディッチ法</v>
          </cell>
          <cell r="AS187" t="str">
            <v>0164701001</v>
          </cell>
          <cell r="AT187" t="str">
            <v/>
          </cell>
          <cell r="AU187" t="str">
            <v>10</v>
          </cell>
          <cell r="AV187" t="str">
            <v>10</v>
          </cell>
          <cell r="AW187">
            <v>0</v>
          </cell>
          <cell r="AX187">
            <v>0</v>
          </cell>
          <cell r="AY187">
            <v>0</v>
          </cell>
          <cell r="AZ187">
            <v>0</v>
          </cell>
          <cell r="BA187">
            <v>0</v>
          </cell>
          <cell r="BD187" t="str">
            <v/>
          </cell>
          <cell r="BE187">
            <v>1</v>
          </cell>
          <cell r="BG187" t="str">
            <v>1100</v>
          </cell>
        </row>
        <row r="188">
          <cell r="B188" t="str">
            <v>G016480206100100</v>
          </cell>
          <cell r="C188" t="str">
            <v>01.北海道</v>
          </cell>
          <cell r="D188" t="str">
            <v>648</v>
          </cell>
          <cell r="E188" t="str">
            <v>陸別町</v>
          </cell>
          <cell r="F188" t="str">
            <v>02</v>
          </cell>
          <cell r="G188" t="str">
            <v>特環 単独</v>
          </cell>
          <cell r="H188" t="str">
            <v>特定環境保全公共下水道</v>
          </cell>
          <cell r="I188" t="str">
            <v>単独</v>
          </cell>
          <cell r="J188" t="str">
            <v>001</v>
          </cell>
          <cell r="K188" t="str">
            <v>陸別浄化センター</v>
          </cell>
          <cell r="M188" t="str">
            <v>1</v>
          </cell>
          <cell r="N188" t="str">
            <v>1</v>
          </cell>
          <cell r="Q188">
            <v>35855</v>
          </cell>
          <cell r="R188" t="str">
            <v>平成</v>
          </cell>
          <cell r="S188">
            <v>10</v>
          </cell>
          <cell r="T188">
            <v>3</v>
          </cell>
          <cell r="AB188">
            <v>5456</v>
          </cell>
          <cell r="AC188" t="str">
            <v>利別川</v>
          </cell>
          <cell r="AD188" t="str">
            <v>Ａ</v>
          </cell>
          <cell r="AE188" t="str">
            <v>イ</v>
          </cell>
          <cell r="AF188">
            <v>15</v>
          </cell>
          <cell r="AI188" t="str">
            <v>十勝川</v>
          </cell>
          <cell r="AK188" t="str">
            <v>利別川</v>
          </cell>
          <cell r="AQ188" t="str">
            <v/>
          </cell>
          <cell r="AR188" t="str">
            <v>オキシディションディッチ法</v>
          </cell>
          <cell r="AS188" t="str">
            <v>0164802001</v>
          </cell>
          <cell r="AT188" t="str">
            <v/>
          </cell>
          <cell r="AU188" t="str">
            <v>10</v>
          </cell>
          <cell r="AV188" t="str">
            <v>10</v>
          </cell>
          <cell r="AW188">
            <v>0</v>
          </cell>
          <cell r="AX188">
            <v>0</v>
          </cell>
          <cell r="AY188">
            <v>0</v>
          </cell>
          <cell r="AZ188">
            <v>0</v>
          </cell>
          <cell r="BA188">
            <v>0</v>
          </cell>
          <cell r="BD188" t="str">
            <v/>
          </cell>
          <cell r="BE188">
            <v>1</v>
          </cell>
          <cell r="BG188" t="str">
            <v>1100</v>
          </cell>
        </row>
        <row r="189">
          <cell r="B189" t="str">
            <v>G016490106100100</v>
          </cell>
          <cell r="C189" t="str">
            <v>01.北海道</v>
          </cell>
          <cell r="D189" t="str">
            <v>649</v>
          </cell>
          <cell r="E189" t="str">
            <v>浦幌町</v>
          </cell>
          <cell r="F189" t="str">
            <v>01</v>
          </cell>
          <cell r="G189" t="str">
            <v>公共 単独</v>
          </cell>
          <cell r="H189" t="str">
            <v>公共下水道</v>
          </cell>
          <cell r="I189" t="str">
            <v>単独</v>
          </cell>
          <cell r="J189" t="str">
            <v>001</v>
          </cell>
          <cell r="K189" t="str">
            <v>浦幌終末処理場</v>
          </cell>
          <cell r="M189" t="str">
            <v>1</v>
          </cell>
          <cell r="N189" t="str">
            <v>1</v>
          </cell>
          <cell r="O189" t="str">
            <v>1</v>
          </cell>
          <cell r="Q189">
            <v>32933</v>
          </cell>
          <cell r="R189" t="str">
            <v>平成</v>
          </cell>
          <cell r="S189">
            <v>2</v>
          </cell>
          <cell r="T189">
            <v>3</v>
          </cell>
          <cell r="AB189">
            <v>11890</v>
          </cell>
          <cell r="AC189" t="str">
            <v>浦幌川下流（２）</v>
          </cell>
          <cell r="AD189" t="str">
            <v>Ｂ</v>
          </cell>
          <cell r="AE189" t="str">
            <v>ロ</v>
          </cell>
          <cell r="AF189">
            <v>15</v>
          </cell>
          <cell r="AK189" t="str">
            <v>浦幌川</v>
          </cell>
          <cell r="AL189" t="str">
            <v>浦幌簡易水道取水口</v>
          </cell>
          <cell r="AM189">
            <v>4.9000000000000004</v>
          </cell>
          <cell r="AO189" t="str">
            <v>浦幌町</v>
          </cell>
          <cell r="AQ189" t="str">
            <v/>
          </cell>
          <cell r="AR189" t="str">
            <v>オキシディションディッチ法</v>
          </cell>
          <cell r="AS189" t="str">
            <v>0164901001</v>
          </cell>
          <cell r="AT189" t="str">
            <v/>
          </cell>
          <cell r="AU189" t="str">
            <v>11</v>
          </cell>
          <cell r="AV189" t="str">
            <v>10</v>
          </cell>
          <cell r="AW189">
            <v>0</v>
          </cell>
          <cell r="AX189">
            <v>0</v>
          </cell>
          <cell r="AY189">
            <v>-1</v>
          </cell>
          <cell r="AZ189">
            <v>0</v>
          </cell>
          <cell r="BA189">
            <v>1</v>
          </cell>
          <cell r="BC189" t="str">
            <v>コンポスト休止</v>
          </cell>
          <cell r="BD189" t="str">
            <v>コンポスト休止</v>
          </cell>
          <cell r="BE189">
            <v>1</v>
          </cell>
          <cell r="BG189" t="str">
            <v>1110</v>
          </cell>
        </row>
        <row r="190">
          <cell r="B190" t="str">
            <v>G016620106100100</v>
          </cell>
          <cell r="C190" t="str">
            <v>01.北海道</v>
          </cell>
          <cell r="D190" t="str">
            <v>662</v>
          </cell>
          <cell r="E190" t="str">
            <v>厚岸町</v>
          </cell>
          <cell r="F190" t="str">
            <v>01</v>
          </cell>
          <cell r="G190" t="str">
            <v>公共 単独</v>
          </cell>
          <cell r="H190" t="str">
            <v>公共下水道</v>
          </cell>
          <cell r="I190" t="str">
            <v>単独</v>
          </cell>
          <cell r="J190" t="str">
            <v>001</v>
          </cell>
          <cell r="K190" t="str">
            <v>厚岸終末処理場</v>
          </cell>
          <cell r="M190" t="str">
            <v>1</v>
          </cell>
          <cell r="N190" t="str">
            <v>1</v>
          </cell>
          <cell r="O190" t="str">
            <v>1</v>
          </cell>
          <cell r="Q190">
            <v>35339</v>
          </cell>
          <cell r="R190" t="str">
            <v>平成</v>
          </cell>
          <cell r="S190">
            <v>8</v>
          </cell>
          <cell r="T190">
            <v>10</v>
          </cell>
          <cell r="AB190">
            <v>37800</v>
          </cell>
          <cell r="AF190">
            <v>15</v>
          </cell>
          <cell r="AI190" t="str">
            <v>準用河川　汐見川</v>
          </cell>
          <cell r="AL190" t="str">
            <v>ホマカイ川取水口</v>
          </cell>
          <cell r="AM190">
            <v>21</v>
          </cell>
          <cell r="AN190">
            <v>8</v>
          </cell>
          <cell r="AO190" t="str">
            <v>厚岸町</v>
          </cell>
          <cell r="AQ190" t="str">
            <v/>
          </cell>
          <cell r="AR190" t="str">
            <v>オキシディションディッチ法</v>
          </cell>
          <cell r="AS190" t="str">
            <v>0166201001</v>
          </cell>
          <cell r="AT190" t="str">
            <v/>
          </cell>
          <cell r="AU190" t="str">
            <v>11</v>
          </cell>
          <cell r="AV190" t="str">
            <v>10</v>
          </cell>
          <cell r="AW190">
            <v>0</v>
          </cell>
          <cell r="AX190">
            <v>0</v>
          </cell>
          <cell r="AY190">
            <v>-1</v>
          </cell>
          <cell r="AZ190">
            <v>0</v>
          </cell>
          <cell r="BA190">
            <v>1</v>
          </cell>
          <cell r="BC190" t="str">
            <v>コンポスト休止</v>
          </cell>
          <cell r="BD190" t="str">
            <v>コンポスト休止</v>
          </cell>
          <cell r="BE190">
            <v>1</v>
          </cell>
          <cell r="BG190" t="str">
            <v>1110</v>
          </cell>
        </row>
        <row r="191">
          <cell r="B191" t="str">
            <v>G016630206100100</v>
          </cell>
          <cell r="C191" t="str">
            <v>01.北海道</v>
          </cell>
          <cell r="D191" t="str">
            <v>663</v>
          </cell>
          <cell r="E191" t="str">
            <v>浜中町</v>
          </cell>
          <cell r="F191" t="str">
            <v>02</v>
          </cell>
          <cell r="G191" t="str">
            <v>特環 単独</v>
          </cell>
          <cell r="H191" t="str">
            <v>特定環境保全公共下水道</v>
          </cell>
          <cell r="I191" t="str">
            <v>単独</v>
          </cell>
          <cell r="J191" t="str">
            <v>001</v>
          </cell>
          <cell r="K191" t="str">
            <v>霧多布クリーンセンター</v>
          </cell>
          <cell r="M191" t="str">
            <v>1</v>
          </cell>
          <cell r="N191" t="str">
            <v>1</v>
          </cell>
          <cell r="Q191">
            <v>36586</v>
          </cell>
          <cell r="R191" t="str">
            <v>平成</v>
          </cell>
          <cell r="S191">
            <v>12</v>
          </cell>
          <cell r="T191">
            <v>3</v>
          </cell>
          <cell r="AB191">
            <v>13156</v>
          </cell>
          <cell r="AC191" t="str">
            <v>設定なし</v>
          </cell>
          <cell r="AF191">
            <v>10</v>
          </cell>
          <cell r="AI191" t="str">
            <v>暮帰別川</v>
          </cell>
          <cell r="AQ191" t="str">
            <v/>
          </cell>
          <cell r="AR191" t="str">
            <v>オキシディションディッチ法</v>
          </cell>
          <cell r="AS191" t="str">
            <v>0166302001</v>
          </cell>
          <cell r="AT191" t="str">
            <v/>
          </cell>
          <cell r="AU191" t="str">
            <v>10</v>
          </cell>
          <cell r="AV191" t="str">
            <v>10</v>
          </cell>
          <cell r="AW191">
            <v>0</v>
          </cell>
          <cell r="AX191">
            <v>0</v>
          </cell>
          <cell r="AY191">
            <v>0</v>
          </cell>
          <cell r="AZ191">
            <v>0</v>
          </cell>
          <cell r="BA191">
            <v>0</v>
          </cell>
          <cell r="BD191" t="str">
            <v/>
          </cell>
          <cell r="BE191">
            <v>1</v>
          </cell>
          <cell r="BG191" t="str">
            <v>1100</v>
          </cell>
        </row>
        <row r="192">
          <cell r="B192" t="str">
            <v>G016640106100100</v>
          </cell>
          <cell r="C192" t="str">
            <v>01.北海道</v>
          </cell>
          <cell r="D192" t="str">
            <v>664</v>
          </cell>
          <cell r="E192" t="str">
            <v>標茶町</v>
          </cell>
          <cell r="F192" t="str">
            <v>01</v>
          </cell>
          <cell r="G192" t="str">
            <v>公共 単独</v>
          </cell>
          <cell r="H192" t="str">
            <v>公共下水道</v>
          </cell>
          <cell r="I192" t="str">
            <v>単独</v>
          </cell>
          <cell r="J192" t="str">
            <v>001</v>
          </cell>
          <cell r="K192" t="str">
            <v>標茶終末処理場</v>
          </cell>
          <cell r="M192" t="str">
            <v>1</v>
          </cell>
          <cell r="N192" t="str">
            <v>1</v>
          </cell>
          <cell r="O192" t="str">
            <v>1</v>
          </cell>
          <cell r="Q192">
            <v>32051</v>
          </cell>
          <cell r="R192" t="str">
            <v>昭和</v>
          </cell>
          <cell r="S192">
            <v>62</v>
          </cell>
          <cell r="T192">
            <v>10</v>
          </cell>
          <cell r="AB192">
            <v>20070</v>
          </cell>
          <cell r="AC192" t="str">
            <v>釧路川中流</v>
          </cell>
          <cell r="AD192" t="str">
            <v>Ａ</v>
          </cell>
          <cell r="AE192" t="str">
            <v>イ</v>
          </cell>
          <cell r="AF192">
            <v>15</v>
          </cell>
          <cell r="AK192" t="str">
            <v>釧路川</v>
          </cell>
          <cell r="AL192" t="str">
            <v>岩保木</v>
          </cell>
          <cell r="AN192">
            <v>34.5</v>
          </cell>
          <cell r="AO192" t="str">
            <v>釧路市・釧路町</v>
          </cell>
          <cell r="AQ192" t="str">
            <v/>
          </cell>
          <cell r="AR192" t="str">
            <v>オキシディションディッチ法</v>
          </cell>
          <cell r="AS192" t="str">
            <v>0166401001</v>
          </cell>
          <cell r="AT192" t="str">
            <v/>
          </cell>
          <cell r="AU192" t="str">
            <v>11</v>
          </cell>
          <cell r="AV192" t="str">
            <v>10</v>
          </cell>
          <cell r="AW192">
            <v>0</v>
          </cell>
          <cell r="AX192">
            <v>0</v>
          </cell>
          <cell r="AY192">
            <v>-1</v>
          </cell>
          <cell r="AZ192">
            <v>0</v>
          </cell>
          <cell r="BA192">
            <v>1</v>
          </cell>
          <cell r="BC192" t="str">
            <v>コンポスト休止</v>
          </cell>
          <cell r="BD192" t="str">
            <v>コンポスト休止</v>
          </cell>
          <cell r="BE192">
            <v>1</v>
          </cell>
          <cell r="BG192" t="str">
            <v>1110</v>
          </cell>
        </row>
        <row r="193">
          <cell r="B193" t="str">
            <v>G016640206100200</v>
          </cell>
          <cell r="C193" t="str">
            <v>01.北海道</v>
          </cell>
          <cell r="D193" t="str">
            <v>664</v>
          </cell>
          <cell r="E193" t="str">
            <v>標茶町</v>
          </cell>
          <cell r="F193" t="str">
            <v>02</v>
          </cell>
          <cell r="G193" t="str">
            <v>特環 単独</v>
          </cell>
          <cell r="H193" t="str">
            <v>特定環境保全公共下水道</v>
          </cell>
          <cell r="I193" t="str">
            <v>単独</v>
          </cell>
          <cell r="J193" t="str">
            <v>002</v>
          </cell>
          <cell r="K193" t="str">
            <v>塘路終末処理場</v>
          </cell>
          <cell r="M193" t="str">
            <v>1</v>
          </cell>
          <cell r="Q193">
            <v>39142</v>
          </cell>
          <cell r="R193" t="str">
            <v>平成</v>
          </cell>
          <cell r="S193">
            <v>19</v>
          </cell>
          <cell r="T193">
            <v>3</v>
          </cell>
          <cell r="AB193">
            <v>3236</v>
          </cell>
          <cell r="AF193">
            <v>15</v>
          </cell>
          <cell r="AI193" t="str">
            <v>アレキナイ川</v>
          </cell>
          <cell r="AL193" t="str">
            <v>岩保木</v>
          </cell>
          <cell r="AN193">
            <v>19</v>
          </cell>
          <cell r="AO193" t="str">
            <v>釧路市・釧路町</v>
          </cell>
          <cell r="AQ193" t="str">
            <v/>
          </cell>
          <cell r="AR193" t="str">
            <v>その他処理方法</v>
          </cell>
          <cell r="AS193" t="str">
            <v>0166402002</v>
          </cell>
          <cell r="AT193" t="str">
            <v/>
          </cell>
          <cell r="AU193" t="str">
            <v>00</v>
          </cell>
          <cell r="AV193" t="str">
            <v>00</v>
          </cell>
          <cell r="AW193">
            <v>0</v>
          </cell>
          <cell r="AX193">
            <v>0</v>
          </cell>
          <cell r="AY193">
            <v>0</v>
          </cell>
          <cell r="AZ193">
            <v>0</v>
          </cell>
          <cell r="BA193">
            <v>0</v>
          </cell>
          <cell r="BD193" t="str">
            <v/>
          </cell>
          <cell r="BE193">
            <v>1</v>
          </cell>
          <cell r="BG193" t="str">
            <v>1000</v>
          </cell>
        </row>
        <row r="194">
          <cell r="B194" t="str">
            <v>G016640206100300</v>
          </cell>
          <cell r="C194" t="str">
            <v>01.北海道</v>
          </cell>
          <cell r="D194" t="str">
            <v>664</v>
          </cell>
          <cell r="E194" t="str">
            <v>標茶町</v>
          </cell>
          <cell r="F194" t="str">
            <v>02</v>
          </cell>
          <cell r="G194" t="str">
            <v>特環 単独</v>
          </cell>
          <cell r="H194" t="str">
            <v>特定環境保全公共下水道</v>
          </cell>
          <cell r="I194" t="str">
            <v>単独</v>
          </cell>
          <cell r="J194" t="str">
            <v>003</v>
          </cell>
          <cell r="K194" t="str">
            <v>磯分内終末処理場</v>
          </cell>
          <cell r="M194" t="str">
            <v>1</v>
          </cell>
          <cell r="Q194">
            <v>40969</v>
          </cell>
          <cell r="R194" t="str">
            <v>平成</v>
          </cell>
          <cell r="S194">
            <v>24</v>
          </cell>
          <cell r="T194">
            <v>3</v>
          </cell>
          <cell r="AB194">
            <v>1881</v>
          </cell>
          <cell r="AF194">
            <v>15</v>
          </cell>
          <cell r="AI194" t="str">
            <v>十文平川</v>
          </cell>
          <cell r="AL194" t="str">
            <v>岩保木</v>
          </cell>
          <cell r="AN194">
            <v>45</v>
          </cell>
          <cell r="AO194" t="str">
            <v>釧路市・釧路町</v>
          </cell>
          <cell r="AQ194" t="str">
            <v/>
          </cell>
          <cell r="AR194" t="str">
            <v>その他処理方法</v>
          </cell>
          <cell r="AS194" t="str">
            <v>0166402003</v>
          </cell>
          <cell r="AT194" t="str">
            <v/>
          </cell>
          <cell r="AU194" t="str">
            <v>00</v>
          </cell>
          <cell r="AV194" t="str">
            <v>00</v>
          </cell>
          <cell r="AW194">
            <v>0</v>
          </cell>
          <cell r="AX194">
            <v>0</v>
          </cell>
          <cell r="AY194">
            <v>0</v>
          </cell>
          <cell r="AZ194">
            <v>0</v>
          </cell>
          <cell r="BA194">
            <v>0</v>
          </cell>
          <cell r="BD194" t="str">
            <v/>
          </cell>
          <cell r="BE194">
            <v>1</v>
          </cell>
          <cell r="BG194" t="str">
            <v>1000</v>
          </cell>
        </row>
        <row r="195">
          <cell r="B195" t="str">
            <v>G016650106100100</v>
          </cell>
          <cell r="C195" t="str">
            <v>01.北海道</v>
          </cell>
          <cell r="D195" t="str">
            <v>665</v>
          </cell>
          <cell r="E195" t="str">
            <v>弟子屈町</v>
          </cell>
          <cell r="F195" t="str">
            <v>01</v>
          </cell>
          <cell r="G195" t="str">
            <v>公共 単独</v>
          </cell>
          <cell r="H195" t="str">
            <v>公共下水道</v>
          </cell>
          <cell r="I195" t="str">
            <v>単独</v>
          </cell>
          <cell r="J195" t="str">
            <v>001</v>
          </cell>
          <cell r="K195" t="str">
            <v>弟子屈浄化センター</v>
          </cell>
          <cell r="M195" t="str">
            <v>1</v>
          </cell>
          <cell r="N195" t="str">
            <v>1</v>
          </cell>
          <cell r="Q195">
            <v>36250</v>
          </cell>
          <cell r="R195" t="str">
            <v>平成</v>
          </cell>
          <cell r="S195">
            <v>11</v>
          </cell>
          <cell r="T195">
            <v>3</v>
          </cell>
          <cell r="AB195">
            <v>24087</v>
          </cell>
          <cell r="AC195" t="str">
            <v>釧路川</v>
          </cell>
          <cell r="AD195" t="str">
            <v>ＡＡ</v>
          </cell>
          <cell r="AE195" t="str">
            <v>イ</v>
          </cell>
          <cell r="AF195">
            <v>15</v>
          </cell>
          <cell r="AK195" t="str">
            <v>釧路川</v>
          </cell>
          <cell r="AL195" t="str">
            <v>愛国取水口</v>
          </cell>
          <cell r="AN195">
            <v>100</v>
          </cell>
          <cell r="AO195" t="str">
            <v>釧路市</v>
          </cell>
          <cell r="AQ195" t="str">
            <v/>
          </cell>
          <cell r="AR195" t="str">
            <v>オキシディションディッチ法</v>
          </cell>
          <cell r="AS195" t="str">
            <v>0166501001</v>
          </cell>
          <cell r="AT195" t="str">
            <v/>
          </cell>
          <cell r="AU195" t="str">
            <v>10</v>
          </cell>
          <cell r="AV195" t="str">
            <v>10</v>
          </cell>
          <cell r="AW195">
            <v>0</v>
          </cell>
          <cell r="AX195">
            <v>0</v>
          </cell>
          <cell r="AY195">
            <v>0</v>
          </cell>
          <cell r="AZ195">
            <v>0</v>
          </cell>
          <cell r="BA195">
            <v>0</v>
          </cell>
          <cell r="BD195" t="str">
            <v/>
          </cell>
          <cell r="BE195">
            <v>1</v>
          </cell>
          <cell r="BG195" t="str">
            <v>1100</v>
          </cell>
        </row>
        <row r="196">
          <cell r="B196" t="str">
            <v>G016680106100100</v>
          </cell>
          <cell r="C196" t="str">
            <v>01.北海道</v>
          </cell>
          <cell r="D196" t="str">
            <v>668</v>
          </cell>
          <cell r="E196" t="str">
            <v>白糠町</v>
          </cell>
          <cell r="F196" t="str">
            <v>01</v>
          </cell>
          <cell r="G196" t="str">
            <v>公共 単独</v>
          </cell>
          <cell r="H196" t="str">
            <v>公共下水道</v>
          </cell>
          <cell r="I196" t="str">
            <v>単独</v>
          </cell>
          <cell r="J196" t="str">
            <v>001</v>
          </cell>
          <cell r="K196" t="str">
            <v>白糠下水道管理センター</v>
          </cell>
          <cell r="M196" t="str">
            <v>1</v>
          </cell>
          <cell r="N196" t="str">
            <v>1</v>
          </cell>
          <cell r="Q196">
            <v>36980</v>
          </cell>
          <cell r="R196" t="str">
            <v>平成</v>
          </cell>
          <cell r="S196">
            <v>13</v>
          </cell>
          <cell r="T196">
            <v>3</v>
          </cell>
          <cell r="AB196">
            <v>31009</v>
          </cell>
          <cell r="AC196" t="str">
            <v>設定なし</v>
          </cell>
          <cell r="AF196">
            <v>15</v>
          </cell>
          <cell r="AI196" t="str">
            <v>普通河川増井川</v>
          </cell>
          <cell r="AQ196" t="str">
            <v/>
          </cell>
          <cell r="AR196" t="str">
            <v>オキシディションディッチ法</v>
          </cell>
          <cell r="AS196" t="str">
            <v>0166801001</v>
          </cell>
          <cell r="AT196" t="str">
            <v/>
          </cell>
          <cell r="AU196" t="str">
            <v>10</v>
          </cell>
          <cell r="AV196" t="str">
            <v>10</v>
          </cell>
          <cell r="AW196">
            <v>0</v>
          </cell>
          <cell r="AX196">
            <v>0</v>
          </cell>
          <cell r="AY196">
            <v>0</v>
          </cell>
          <cell r="AZ196">
            <v>0</v>
          </cell>
          <cell r="BA196">
            <v>0</v>
          </cell>
          <cell r="BD196" t="str">
            <v/>
          </cell>
          <cell r="BE196">
            <v>1</v>
          </cell>
          <cell r="BG196" t="str">
            <v>1100</v>
          </cell>
        </row>
        <row r="197">
          <cell r="B197" t="str">
            <v>G016910206100100</v>
          </cell>
          <cell r="C197" t="str">
            <v>01.北海道</v>
          </cell>
          <cell r="D197" t="str">
            <v>691</v>
          </cell>
          <cell r="E197" t="str">
            <v>別海町</v>
          </cell>
          <cell r="F197" t="str">
            <v>02</v>
          </cell>
          <cell r="G197" t="str">
            <v>特環 単独</v>
          </cell>
          <cell r="H197" t="str">
            <v>特定環境保全公共下水道</v>
          </cell>
          <cell r="I197" t="str">
            <v>単独</v>
          </cell>
          <cell r="J197" t="str">
            <v>001</v>
          </cell>
          <cell r="K197" t="str">
            <v>別海終末処理場</v>
          </cell>
          <cell r="M197" t="str">
            <v>1</v>
          </cell>
          <cell r="N197" t="str">
            <v>1</v>
          </cell>
          <cell r="Q197">
            <v>31717</v>
          </cell>
          <cell r="R197" t="str">
            <v>昭和</v>
          </cell>
          <cell r="S197">
            <v>61</v>
          </cell>
          <cell r="T197">
            <v>11</v>
          </cell>
          <cell r="AB197">
            <v>17125</v>
          </cell>
          <cell r="AC197" t="str">
            <v>西別川水域</v>
          </cell>
          <cell r="AD197" t="str">
            <v>Ａ</v>
          </cell>
          <cell r="AE197" t="str">
            <v>イ</v>
          </cell>
          <cell r="AF197">
            <v>15</v>
          </cell>
          <cell r="AJ197" t="str">
            <v>西別川</v>
          </cell>
          <cell r="AL197" t="str">
            <v>西別川支流コトンナイ川</v>
          </cell>
          <cell r="AM197">
            <v>44</v>
          </cell>
          <cell r="AO197" t="str">
            <v>別海町</v>
          </cell>
          <cell r="AQ197" t="str">
            <v/>
          </cell>
          <cell r="AR197" t="str">
            <v>オキシディションディッチ法</v>
          </cell>
          <cell r="AS197" t="str">
            <v>0169102001</v>
          </cell>
          <cell r="AT197" t="str">
            <v/>
          </cell>
          <cell r="AU197" t="str">
            <v>10</v>
          </cell>
          <cell r="AV197" t="str">
            <v>10</v>
          </cell>
          <cell r="AW197">
            <v>0</v>
          </cell>
          <cell r="AX197">
            <v>0</v>
          </cell>
          <cell r="AY197">
            <v>0</v>
          </cell>
          <cell r="AZ197">
            <v>0</v>
          </cell>
          <cell r="BA197">
            <v>0</v>
          </cell>
          <cell r="BD197" t="str">
            <v/>
          </cell>
          <cell r="BE197">
            <v>1</v>
          </cell>
          <cell r="BG197" t="str">
            <v>1100</v>
          </cell>
        </row>
        <row r="198">
          <cell r="B198" t="str">
            <v>G016910206100200</v>
          </cell>
          <cell r="C198" t="str">
            <v>01.北海道</v>
          </cell>
          <cell r="D198" t="str">
            <v>691</v>
          </cell>
          <cell r="E198" t="str">
            <v>別海町</v>
          </cell>
          <cell r="F198" t="str">
            <v>02</v>
          </cell>
          <cell r="G198" t="str">
            <v>特環 単独</v>
          </cell>
          <cell r="H198" t="str">
            <v>特定環境保全公共下水道</v>
          </cell>
          <cell r="I198" t="str">
            <v>単独</v>
          </cell>
          <cell r="J198" t="str">
            <v>002</v>
          </cell>
          <cell r="K198" t="str">
            <v>西春別終末処理場</v>
          </cell>
          <cell r="M198" t="str">
            <v>1</v>
          </cell>
          <cell r="N198" t="str">
            <v>1</v>
          </cell>
          <cell r="Q198">
            <v>33323</v>
          </cell>
          <cell r="R198" t="str">
            <v>平成</v>
          </cell>
          <cell r="S198">
            <v>3</v>
          </cell>
          <cell r="T198">
            <v>3</v>
          </cell>
          <cell r="AB198">
            <v>3882</v>
          </cell>
          <cell r="AC198" t="str">
            <v>西別川水域</v>
          </cell>
          <cell r="AD198" t="str">
            <v>ＡＡ</v>
          </cell>
          <cell r="AE198" t="str">
            <v>イ</v>
          </cell>
          <cell r="AF198">
            <v>15</v>
          </cell>
          <cell r="AJ198" t="str">
            <v>西別川</v>
          </cell>
          <cell r="AL198" t="str">
            <v>西別川支流コトンナイ川</v>
          </cell>
          <cell r="AM198">
            <v>13</v>
          </cell>
          <cell r="AO198" t="str">
            <v>別海町</v>
          </cell>
          <cell r="AQ198" t="str">
            <v/>
          </cell>
          <cell r="AR198" t="str">
            <v>オキシディションディッチ法</v>
          </cell>
          <cell r="AS198" t="str">
            <v>0169102002</v>
          </cell>
          <cell r="AT198" t="str">
            <v/>
          </cell>
          <cell r="AU198" t="str">
            <v>10</v>
          </cell>
          <cell r="AV198" t="str">
            <v>10</v>
          </cell>
          <cell r="AW198">
            <v>0</v>
          </cell>
          <cell r="AX198">
            <v>0</v>
          </cell>
          <cell r="AY198">
            <v>0</v>
          </cell>
          <cell r="AZ198">
            <v>0</v>
          </cell>
          <cell r="BA198">
            <v>0</v>
          </cell>
          <cell r="BD198" t="str">
            <v/>
          </cell>
          <cell r="BE198">
            <v>1</v>
          </cell>
          <cell r="BG198" t="str">
            <v>1100</v>
          </cell>
        </row>
        <row r="199">
          <cell r="B199" t="str">
            <v>G016910206100300</v>
          </cell>
          <cell r="C199" t="str">
            <v>01.北海道</v>
          </cell>
          <cell r="D199" t="str">
            <v>691</v>
          </cell>
          <cell r="E199" t="str">
            <v>別海町</v>
          </cell>
          <cell r="F199" t="str">
            <v>02</v>
          </cell>
          <cell r="G199" t="str">
            <v>特環 単独</v>
          </cell>
          <cell r="H199" t="str">
            <v>特定環境保全公共下水道</v>
          </cell>
          <cell r="I199" t="str">
            <v>単独</v>
          </cell>
          <cell r="J199" t="str">
            <v>003</v>
          </cell>
          <cell r="K199" t="str">
            <v>走古丹終末処理場</v>
          </cell>
          <cell r="M199" t="str">
            <v>1</v>
          </cell>
          <cell r="N199" t="str">
            <v>1</v>
          </cell>
          <cell r="Q199">
            <v>35510</v>
          </cell>
          <cell r="R199" t="str">
            <v>平成</v>
          </cell>
          <cell r="S199">
            <v>9</v>
          </cell>
          <cell r="T199">
            <v>3</v>
          </cell>
          <cell r="AB199">
            <v>981</v>
          </cell>
          <cell r="AC199" t="str">
            <v>風蓮湖水域</v>
          </cell>
          <cell r="AD199" t="str">
            <v>Ａ</v>
          </cell>
          <cell r="AE199" t="str">
            <v>イ</v>
          </cell>
          <cell r="AF199">
            <v>15</v>
          </cell>
          <cell r="AI199" t="str">
            <v>風蓮湖</v>
          </cell>
          <cell r="AQ199" t="str">
            <v/>
          </cell>
          <cell r="AR199" t="str">
            <v>回分式活性汚泥法</v>
          </cell>
          <cell r="AS199" t="str">
            <v>0169102003</v>
          </cell>
          <cell r="AT199" t="str">
            <v/>
          </cell>
          <cell r="AU199" t="str">
            <v>10</v>
          </cell>
          <cell r="AV199" t="str">
            <v>10</v>
          </cell>
          <cell r="AW199">
            <v>0</v>
          </cell>
          <cell r="AX199">
            <v>0</v>
          </cell>
          <cell r="AY199">
            <v>0</v>
          </cell>
          <cell r="AZ199">
            <v>0</v>
          </cell>
          <cell r="BA199">
            <v>0</v>
          </cell>
          <cell r="BD199" t="str">
            <v/>
          </cell>
          <cell r="BE199">
            <v>1</v>
          </cell>
          <cell r="BG199" t="str">
            <v>1100</v>
          </cell>
        </row>
        <row r="200">
          <cell r="B200" t="str">
            <v>G016920106100100</v>
          </cell>
          <cell r="C200" t="str">
            <v>01.北海道</v>
          </cell>
          <cell r="D200" t="str">
            <v>692</v>
          </cell>
          <cell r="E200" t="str">
            <v>中標津町</v>
          </cell>
          <cell r="F200" t="str">
            <v>01</v>
          </cell>
          <cell r="G200" t="str">
            <v>公共 単独</v>
          </cell>
          <cell r="H200" t="str">
            <v>公共下水道</v>
          </cell>
          <cell r="I200" t="str">
            <v>単独</v>
          </cell>
          <cell r="J200" t="str">
            <v>001</v>
          </cell>
          <cell r="K200" t="str">
            <v>中標津下水終末処理場</v>
          </cell>
          <cell r="M200" t="str">
            <v>1</v>
          </cell>
          <cell r="N200" t="str">
            <v>1</v>
          </cell>
          <cell r="O200" t="str">
            <v>1</v>
          </cell>
          <cell r="Q200">
            <v>31138</v>
          </cell>
          <cell r="R200" t="str">
            <v>昭和</v>
          </cell>
          <cell r="S200">
            <v>60</v>
          </cell>
          <cell r="T200">
            <v>4</v>
          </cell>
          <cell r="AB200">
            <v>20799</v>
          </cell>
          <cell r="AC200" t="str">
            <v>標津川下流（２）</v>
          </cell>
          <cell r="AD200" t="str">
            <v>Ｂ</v>
          </cell>
          <cell r="AE200" t="str">
            <v>イ</v>
          </cell>
          <cell r="AF200">
            <v>15</v>
          </cell>
          <cell r="AJ200" t="str">
            <v>標津川水系標津川</v>
          </cell>
          <cell r="AQ200" t="str">
            <v/>
          </cell>
          <cell r="AR200" t="str">
            <v>標準活性汚泥法</v>
          </cell>
          <cell r="AS200" t="str">
            <v>0169201001</v>
          </cell>
          <cell r="AT200" t="str">
            <v/>
          </cell>
          <cell r="AU200" t="str">
            <v>11</v>
          </cell>
          <cell r="AV200" t="str">
            <v>11</v>
          </cell>
          <cell r="AW200">
            <v>0</v>
          </cell>
          <cell r="AX200">
            <v>0</v>
          </cell>
          <cell r="AY200">
            <v>0</v>
          </cell>
          <cell r="AZ200">
            <v>0</v>
          </cell>
          <cell r="BA200">
            <v>0</v>
          </cell>
          <cell r="BD200" t="str">
            <v/>
          </cell>
          <cell r="BE200">
            <v>1</v>
          </cell>
          <cell r="BG200" t="str">
            <v>1110</v>
          </cell>
        </row>
        <row r="201">
          <cell r="B201" t="str">
            <v>G016920206100200</v>
          </cell>
          <cell r="C201" t="str">
            <v>01.北海道</v>
          </cell>
          <cell r="D201" t="str">
            <v>692</v>
          </cell>
          <cell r="E201" t="str">
            <v>中標津町</v>
          </cell>
          <cell r="F201" t="str">
            <v>02</v>
          </cell>
          <cell r="G201" t="str">
            <v>特環 単独</v>
          </cell>
          <cell r="H201" t="str">
            <v>特定環境保全公共下水道</v>
          </cell>
          <cell r="I201" t="str">
            <v>単独</v>
          </cell>
          <cell r="J201" t="str">
            <v>002</v>
          </cell>
          <cell r="K201" t="str">
            <v>養老牛温泉浄化センター</v>
          </cell>
          <cell r="M201" t="str">
            <v>1</v>
          </cell>
          <cell r="N201" t="str">
            <v>1</v>
          </cell>
          <cell r="Q201">
            <v>36951</v>
          </cell>
          <cell r="R201" t="str">
            <v>平成</v>
          </cell>
          <cell r="S201">
            <v>13</v>
          </cell>
          <cell r="T201">
            <v>3</v>
          </cell>
          <cell r="AB201">
            <v>2380</v>
          </cell>
          <cell r="AC201" t="str">
            <v>標津川上流</v>
          </cell>
          <cell r="AD201" t="str">
            <v>ＡＡ</v>
          </cell>
          <cell r="AE201" t="str">
            <v>イ</v>
          </cell>
          <cell r="AF201">
            <v>15</v>
          </cell>
          <cell r="AI201" t="str">
            <v>普通河川標津川</v>
          </cell>
          <cell r="AJ201" t="str">
            <v>標津川水系標津川</v>
          </cell>
          <cell r="AQ201" t="str">
            <v/>
          </cell>
          <cell r="AR201" t="str">
            <v>オキシディションディッチ法</v>
          </cell>
          <cell r="AS201" t="str">
            <v>0169202002</v>
          </cell>
          <cell r="AT201" t="str">
            <v/>
          </cell>
          <cell r="AU201" t="str">
            <v>10</v>
          </cell>
          <cell r="AV201" t="str">
            <v>10</v>
          </cell>
          <cell r="AW201">
            <v>0</v>
          </cell>
          <cell r="AX201">
            <v>0</v>
          </cell>
          <cell r="AY201">
            <v>0</v>
          </cell>
          <cell r="AZ201">
            <v>0</v>
          </cell>
          <cell r="BA201">
            <v>0</v>
          </cell>
          <cell r="BD201" t="str">
            <v/>
          </cell>
          <cell r="BE201">
            <v>1</v>
          </cell>
          <cell r="BG201" t="str">
            <v>1100</v>
          </cell>
        </row>
        <row r="202">
          <cell r="B202" t="str">
            <v>G016930206100100</v>
          </cell>
          <cell r="C202" t="str">
            <v>01.北海道</v>
          </cell>
          <cell r="D202" t="str">
            <v>693</v>
          </cell>
          <cell r="E202" t="str">
            <v>標津町</v>
          </cell>
          <cell r="F202" t="str">
            <v>02</v>
          </cell>
          <cell r="G202" t="str">
            <v>特環 単独</v>
          </cell>
          <cell r="H202" t="str">
            <v>特定環境保全公共下水道</v>
          </cell>
          <cell r="I202" t="str">
            <v>単独</v>
          </cell>
          <cell r="J202" t="str">
            <v>001</v>
          </cell>
          <cell r="K202" t="str">
            <v>下水道管理センター</v>
          </cell>
          <cell r="M202" t="str">
            <v>1</v>
          </cell>
          <cell r="N202" t="str">
            <v>1</v>
          </cell>
          <cell r="Q202">
            <v>31686</v>
          </cell>
          <cell r="R202" t="str">
            <v>昭和</v>
          </cell>
          <cell r="S202">
            <v>61</v>
          </cell>
          <cell r="T202">
            <v>10</v>
          </cell>
          <cell r="AB202">
            <v>24656</v>
          </cell>
          <cell r="AC202" t="str">
            <v>標津川下流</v>
          </cell>
          <cell r="AD202" t="str">
            <v>Ｂ</v>
          </cell>
          <cell r="AE202" t="str">
            <v>イ</v>
          </cell>
          <cell r="AF202">
            <v>15</v>
          </cell>
          <cell r="AJ202" t="str">
            <v>標津川水系標津川</v>
          </cell>
          <cell r="AL202" t="str">
            <v>標津簡易水道取水口</v>
          </cell>
          <cell r="AM202">
            <v>18.600000000000001</v>
          </cell>
          <cell r="AO202" t="str">
            <v>標津町</v>
          </cell>
          <cell r="AQ202" t="str">
            <v/>
          </cell>
          <cell r="AR202" t="str">
            <v>標準活性汚泥法</v>
          </cell>
          <cell r="AS202" t="str">
            <v>0169302001</v>
          </cell>
          <cell r="AT202" t="str">
            <v/>
          </cell>
          <cell r="AU202" t="str">
            <v>10</v>
          </cell>
          <cell r="AV202" t="str">
            <v>10</v>
          </cell>
          <cell r="AW202">
            <v>0</v>
          </cell>
          <cell r="AX202">
            <v>0</v>
          </cell>
          <cell r="AY202">
            <v>0</v>
          </cell>
          <cell r="AZ202">
            <v>0</v>
          </cell>
          <cell r="BA202">
            <v>0</v>
          </cell>
          <cell r="BD202" t="str">
            <v/>
          </cell>
          <cell r="BE202">
            <v>1</v>
          </cell>
          <cell r="BG202" t="str">
            <v>1100</v>
          </cell>
        </row>
        <row r="203">
          <cell r="B203" t="str">
            <v>G016930206100200</v>
          </cell>
          <cell r="C203" t="str">
            <v>01.北海道</v>
          </cell>
          <cell r="D203" t="str">
            <v>693</v>
          </cell>
          <cell r="E203" t="str">
            <v>標津町</v>
          </cell>
          <cell r="F203" t="str">
            <v>02</v>
          </cell>
          <cell r="G203" t="str">
            <v>特環 単独</v>
          </cell>
          <cell r="H203" t="str">
            <v>特定環境保全公共下水道</v>
          </cell>
          <cell r="I203" t="str">
            <v>単独</v>
          </cell>
          <cell r="J203" t="str">
            <v>002</v>
          </cell>
          <cell r="K203" t="str">
            <v>川北下水処理場</v>
          </cell>
          <cell r="M203" t="str">
            <v>1</v>
          </cell>
          <cell r="N203" t="str">
            <v>1</v>
          </cell>
          <cell r="Q203">
            <v>36615</v>
          </cell>
          <cell r="R203" t="str">
            <v>平成</v>
          </cell>
          <cell r="S203">
            <v>12</v>
          </cell>
          <cell r="T203">
            <v>3</v>
          </cell>
          <cell r="AB203">
            <v>14973</v>
          </cell>
          <cell r="AC203" t="str">
            <v>標津川下流</v>
          </cell>
          <cell r="AD203" t="str">
            <v>Ａ</v>
          </cell>
          <cell r="AE203" t="str">
            <v>イ</v>
          </cell>
          <cell r="AF203">
            <v>15</v>
          </cell>
          <cell r="AJ203" t="str">
            <v>標津川水系　普通河川シュラ川</v>
          </cell>
          <cell r="AL203" t="str">
            <v>川北簡易水道取水口</v>
          </cell>
          <cell r="AM203">
            <v>15.5</v>
          </cell>
          <cell r="AO203" t="str">
            <v>標津町</v>
          </cell>
          <cell r="AQ203" t="str">
            <v/>
          </cell>
          <cell r="AR203" t="str">
            <v>オキシディションディッチ法</v>
          </cell>
          <cell r="AS203" t="str">
            <v>0169302002</v>
          </cell>
          <cell r="AT203" t="str">
            <v/>
          </cell>
          <cell r="AU203" t="str">
            <v>10</v>
          </cell>
          <cell r="AV203" t="str">
            <v>10</v>
          </cell>
          <cell r="AW203">
            <v>0</v>
          </cell>
          <cell r="AX203">
            <v>0</v>
          </cell>
          <cell r="AY203">
            <v>0</v>
          </cell>
          <cell r="AZ203">
            <v>0</v>
          </cell>
          <cell r="BA203">
            <v>0</v>
          </cell>
          <cell r="BD203" t="str">
            <v/>
          </cell>
          <cell r="BE203">
            <v>1</v>
          </cell>
          <cell r="BG203" t="str">
            <v>1100</v>
          </cell>
        </row>
        <row r="204">
          <cell r="B204" t="str">
            <v>G020018106100100</v>
          </cell>
          <cell r="C204" t="str">
            <v>02.青森県</v>
          </cell>
          <cell r="D204" t="str">
            <v>001</v>
          </cell>
          <cell r="E204" t="str">
            <v>岩木川流域</v>
          </cell>
          <cell r="F204" t="str">
            <v>81</v>
          </cell>
          <cell r="G204" t="str">
            <v>流域</v>
          </cell>
          <cell r="H204" t="str">
            <v>流域下水道</v>
          </cell>
          <cell r="I204" t="str">
            <v/>
          </cell>
          <cell r="J204" t="str">
            <v>001</v>
          </cell>
          <cell r="K204" t="str">
            <v>岩木川浄化センター</v>
          </cell>
          <cell r="M204" t="str">
            <v>1</v>
          </cell>
          <cell r="N204" t="str">
            <v>1</v>
          </cell>
          <cell r="Q204">
            <v>31868</v>
          </cell>
          <cell r="R204" t="str">
            <v>昭和</v>
          </cell>
          <cell r="S204">
            <v>62</v>
          </cell>
          <cell r="T204">
            <v>4</v>
          </cell>
          <cell r="AB204">
            <v>172000</v>
          </cell>
          <cell r="AC204" t="str">
            <v>平川</v>
          </cell>
          <cell r="AD204" t="str">
            <v>Ａ</v>
          </cell>
          <cell r="AE204" t="str">
            <v>ロ</v>
          </cell>
          <cell r="AF204">
            <v>15</v>
          </cell>
          <cell r="AK204" t="str">
            <v>平川</v>
          </cell>
          <cell r="AL204" t="str">
            <v>五所川原市上水道取水口</v>
          </cell>
          <cell r="AN204">
            <v>20</v>
          </cell>
          <cell r="AO204" t="str">
            <v>五所川原市</v>
          </cell>
          <cell r="AQ204" t="str">
            <v/>
          </cell>
          <cell r="AR204" t="str">
            <v>標準活性汚泥法</v>
          </cell>
          <cell r="AS204" t="str">
            <v>0200181001</v>
          </cell>
          <cell r="AT204" t="str">
            <v/>
          </cell>
          <cell r="AU204" t="str">
            <v>10</v>
          </cell>
          <cell r="AV204" t="str">
            <v>10</v>
          </cell>
          <cell r="AW204">
            <v>0</v>
          </cell>
          <cell r="AX204">
            <v>0</v>
          </cell>
          <cell r="AY204">
            <v>0</v>
          </cell>
          <cell r="AZ204">
            <v>0</v>
          </cell>
          <cell r="BA204">
            <v>0</v>
          </cell>
          <cell r="BD204" t="str">
            <v/>
          </cell>
          <cell r="BE204">
            <v>1</v>
          </cell>
          <cell r="BG204" t="str">
            <v>1100</v>
          </cell>
        </row>
        <row r="205">
          <cell r="B205" t="str">
            <v>G020028106100100</v>
          </cell>
          <cell r="C205" t="str">
            <v>02.青森県</v>
          </cell>
          <cell r="D205" t="str">
            <v>002</v>
          </cell>
          <cell r="E205" t="str">
            <v>馬淵川流域</v>
          </cell>
          <cell r="F205" t="str">
            <v>81</v>
          </cell>
          <cell r="G205" t="str">
            <v>流域</v>
          </cell>
          <cell r="H205" t="str">
            <v>流域下水道</v>
          </cell>
          <cell r="I205" t="str">
            <v/>
          </cell>
          <cell r="J205" t="str">
            <v>001</v>
          </cell>
          <cell r="K205" t="str">
            <v>馬淵川浄化センター</v>
          </cell>
          <cell r="M205" t="str">
            <v>1</v>
          </cell>
          <cell r="N205" t="str">
            <v>1</v>
          </cell>
          <cell r="Q205">
            <v>33329</v>
          </cell>
          <cell r="R205" t="str">
            <v>平成</v>
          </cell>
          <cell r="S205">
            <v>3</v>
          </cell>
          <cell r="T205">
            <v>4</v>
          </cell>
          <cell r="AB205">
            <v>81000</v>
          </cell>
          <cell r="AC205" t="str">
            <v>工業港（２）</v>
          </cell>
          <cell r="AD205" t="str">
            <v>Ｃ</v>
          </cell>
          <cell r="AE205" t="str">
            <v>ロ</v>
          </cell>
          <cell r="AF205">
            <v>15</v>
          </cell>
          <cell r="AI205" t="str">
            <v>八戸港</v>
          </cell>
          <cell r="AQ205" t="str">
            <v/>
          </cell>
          <cell r="AR205" t="str">
            <v>標準活性汚泥法</v>
          </cell>
          <cell r="AS205" t="str">
            <v>0200281001</v>
          </cell>
          <cell r="AT205" t="str">
            <v/>
          </cell>
          <cell r="AU205" t="str">
            <v>10</v>
          </cell>
          <cell r="AV205" t="str">
            <v>10</v>
          </cell>
          <cell r="AW205">
            <v>0</v>
          </cell>
          <cell r="AX205">
            <v>0</v>
          </cell>
          <cell r="AY205">
            <v>0</v>
          </cell>
          <cell r="AZ205">
            <v>0</v>
          </cell>
          <cell r="BA205">
            <v>0</v>
          </cell>
          <cell r="BD205" t="str">
            <v/>
          </cell>
          <cell r="BE205">
            <v>1</v>
          </cell>
          <cell r="BG205" t="str">
            <v>1100</v>
          </cell>
        </row>
        <row r="206">
          <cell r="B206" t="str">
            <v>G020210206100100</v>
          </cell>
          <cell r="C206" t="str">
            <v>02.青森県</v>
          </cell>
          <cell r="D206" t="str">
            <v>021</v>
          </cell>
          <cell r="E206" t="str">
            <v>県・十和田湖</v>
          </cell>
          <cell r="F206" t="str">
            <v>02</v>
          </cell>
          <cell r="G206" t="str">
            <v>特環 単独</v>
          </cell>
          <cell r="H206" t="str">
            <v>特定環境保全公共下水道</v>
          </cell>
          <cell r="I206" t="str">
            <v>単独</v>
          </cell>
          <cell r="J206" t="str">
            <v>001</v>
          </cell>
          <cell r="K206" t="str">
            <v>十和田湖浄化センター</v>
          </cell>
          <cell r="M206" t="str">
            <v>1</v>
          </cell>
          <cell r="N206" t="str">
            <v>1</v>
          </cell>
          <cell r="Q206">
            <v>33329</v>
          </cell>
          <cell r="R206" t="str">
            <v>平成</v>
          </cell>
          <cell r="S206">
            <v>3</v>
          </cell>
          <cell r="T206">
            <v>4</v>
          </cell>
          <cell r="AB206">
            <v>51000</v>
          </cell>
          <cell r="AC206" t="str">
            <v>奥入瀬川</v>
          </cell>
          <cell r="AD206" t="str">
            <v>Ａ</v>
          </cell>
          <cell r="AE206" t="str">
            <v>イ</v>
          </cell>
          <cell r="AF206">
            <v>20</v>
          </cell>
          <cell r="AJ206" t="str">
            <v>奥入瀬川</v>
          </cell>
          <cell r="AL206" t="str">
            <v>奥入瀬取水口</v>
          </cell>
          <cell r="AN206">
            <v>45</v>
          </cell>
          <cell r="AO206" t="str">
            <v>八戸圏域水道企業団</v>
          </cell>
          <cell r="AP206" t="str">
            <v>ＢＯＤ認可値</v>
          </cell>
          <cell r="AQ206" t="str">
            <v/>
          </cell>
          <cell r="AR206" t="str">
            <v>標準活性汚泥法</v>
          </cell>
          <cell r="AS206" t="str">
            <v>0202102001</v>
          </cell>
          <cell r="AT206" t="str">
            <v/>
          </cell>
          <cell r="AU206" t="str">
            <v>10</v>
          </cell>
          <cell r="AV206" t="str">
            <v>10</v>
          </cell>
          <cell r="AW206">
            <v>0</v>
          </cell>
          <cell r="AX206">
            <v>0</v>
          </cell>
          <cell r="AY206">
            <v>0</v>
          </cell>
          <cell r="AZ206">
            <v>0</v>
          </cell>
          <cell r="BA206">
            <v>0</v>
          </cell>
          <cell r="BD206" t="str">
            <v/>
          </cell>
          <cell r="BE206">
            <v>1</v>
          </cell>
          <cell r="BG206" t="str">
            <v>1100</v>
          </cell>
        </row>
        <row r="207">
          <cell r="B207" t="str">
            <v>G022010106100100</v>
          </cell>
          <cell r="C207" t="str">
            <v>02.青森県</v>
          </cell>
          <cell r="D207" t="str">
            <v>201</v>
          </cell>
          <cell r="E207" t="str">
            <v>青森市</v>
          </cell>
          <cell r="F207" t="str">
            <v>01</v>
          </cell>
          <cell r="G207" t="str">
            <v>公共 単独</v>
          </cell>
          <cell r="H207" t="str">
            <v>公共下水道</v>
          </cell>
          <cell r="I207" t="str">
            <v>単独</v>
          </cell>
          <cell r="J207" t="str">
            <v>001</v>
          </cell>
          <cell r="K207" t="str">
            <v>八重田浄化センター</v>
          </cell>
          <cell r="M207" t="str">
            <v>1</v>
          </cell>
          <cell r="N207" t="str">
            <v>1</v>
          </cell>
          <cell r="P207" t="str">
            <v>1</v>
          </cell>
          <cell r="Q207">
            <v>26755</v>
          </cell>
          <cell r="R207" t="str">
            <v>昭和</v>
          </cell>
          <cell r="S207">
            <v>48</v>
          </cell>
          <cell r="T207">
            <v>4</v>
          </cell>
          <cell r="AB207">
            <v>93699</v>
          </cell>
          <cell r="AC207" t="str">
            <v>陸奥湾（４）</v>
          </cell>
          <cell r="AD207" t="str">
            <v>Ａ</v>
          </cell>
          <cell r="AE207" t="str">
            <v>イ</v>
          </cell>
          <cell r="AF207">
            <v>15</v>
          </cell>
          <cell r="AI207" t="str">
            <v>陸奥湾</v>
          </cell>
          <cell r="AQ207" t="str">
            <v/>
          </cell>
          <cell r="AR207" t="str">
            <v>標準活性汚泥法</v>
          </cell>
          <cell r="AS207" t="str">
            <v>0220101001</v>
          </cell>
          <cell r="AT207" t="str">
            <v/>
          </cell>
          <cell r="AU207" t="str">
            <v>10</v>
          </cell>
          <cell r="AV207" t="str">
            <v>10</v>
          </cell>
          <cell r="AW207">
            <v>1</v>
          </cell>
          <cell r="AX207">
            <v>0</v>
          </cell>
          <cell r="AY207">
            <v>0</v>
          </cell>
          <cell r="AZ207">
            <v>0</v>
          </cell>
          <cell r="BA207">
            <v>0</v>
          </cell>
          <cell r="BD207" t="str">
            <v/>
          </cell>
          <cell r="BE207">
            <v>1</v>
          </cell>
          <cell r="BG207" t="str">
            <v>1101</v>
          </cell>
        </row>
        <row r="208">
          <cell r="B208" t="str">
            <v>G022010106100200</v>
          </cell>
          <cell r="C208" t="str">
            <v>02.青森県</v>
          </cell>
          <cell r="D208" t="str">
            <v>201</v>
          </cell>
          <cell r="E208" t="str">
            <v>青森市</v>
          </cell>
          <cell r="F208" t="str">
            <v>01</v>
          </cell>
          <cell r="G208" t="str">
            <v>公共 単独</v>
          </cell>
          <cell r="H208" t="str">
            <v>公共下水道</v>
          </cell>
          <cell r="I208" t="str">
            <v>単独</v>
          </cell>
          <cell r="J208" t="str">
            <v>002</v>
          </cell>
          <cell r="K208" t="str">
            <v>新田浄化センター</v>
          </cell>
          <cell r="M208" t="str">
            <v>1</v>
          </cell>
          <cell r="N208" t="str">
            <v>1</v>
          </cell>
          <cell r="O208" t="str">
            <v>1</v>
          </cell>
          <cell r="Q208">
            <v>31717</v>
          </cell>
          <cell r="R208" t="str">
            <v>昭和</v>
          </cell>
          <cell r="S208">
            <v>61</v>
          </cell>
          <cell r="T208">
            <v>11</v>
          </cell>
          <cell r="AB208">
            <v>105900</v>
          </cell>
          <cell r="AC208" t="str">
            <v>新城川</v>
          </cell>
          <cell r="AD208" t="str">
            <v>Ｂ</v>
          </cell>
          <cell r="AE208" t="str">
            <v>ロ</v>
          </cell>
          <cell r="AF208">
            <v>15</v>
          </cell>
          <cell r="AJ208" t="str">
            <v>新城川</v>
          </cell>
          <cell r="AQ208" t="str">
            <v/>
          </cell>
          <cell r="AR208" t="str">
            <v>標準活性汚泥法</v>
          </cell>
          <cell r="AS208" t="str">
            <v>0220101002</v>
          </cell>
          <cell r="AT208" t="str">
            <v/>
          </cell>
          <cell r="AU208" t="str">
            <v>11</v>
          </cell>
          <cell r="AV208" t="str">
            <v>11</v>
          </cell>
          <cell r="AW208">
            <v>0</v>
          </cell>
          <cell r="AX208">
            <v>0</v>
          </cell>
          <cell r="AY208">
            <v>0</v>
          </cell>
          <cell r="AZ208">
            <v>0</v>
          </cell>
          <cell r="BA208">
            <v>0</v>
          </cell>
          <cell r="BD208" t="str">
            <v/>
          </cell>
          <cell r="BE208">
            <v>1</v>
          </cell>
          <cell r="BG208" t="str">
            <v>1110</v>
          </cell>
        </row>
        <row r="209">
          <cell r="B209" t="str">
            <v>G022020106100100</v>
          </cell>
          <cell r="C209" t="str">
            <v>02.青森県</v>
          </cell>
          <cell r="D209" t="str">
            <v>202</v>
          </cell>
          <cell r="E209" t="str">
            <v>弘前市</v>
          </cell>
          <cell r="F209" t="str">
            <v>01</v>
          </cell>
          <cell r="G209" t="str">
            <v>公共 単独</v>
          </cell>
          <cell r="H209" t="str">
            <v>公共下水道</v>
          </cell>
          <cell r="I209" t="str">
            <v>単独</v>
          </cell>
          <cell r="J209" t="str">
            <v>001</v>
          </cell>
          <cell r="K209" t="str">
            <v>弘前市下水処理場</v>
          </cell>
          <cell r="M209" t="str">
            <v>1</v>
          </cell>
          <cell r="N209" t="str">
            <v>1</v>
          </cell>
          <cell r="Q209">
            <v>26835</v>
          </cell>
          <cell r="R209" t="str">
            <v>昭和</v>
          </cell>
          <cell r="S209">
            <v>48</v>
          </cell>
          <cell r="T209">
            <v>6</v>
          </cell>
          <cell r="AB209">
            <v>68000</v>
          </cell>
          <cell r="AC209" t="str">
            <v>平川</v>
          </cell>
          <cell r="AD209" t="str">
            <v>Ａ</v>
          </cell>
          <cell r="AE209" t="str">
            <v>ロ</v>
          </cell>
          <cell r="AF209">
            <v>15</v>
          </cell>
          <cell r="AK209" t="str">
            <v>平川</v>
          </cell>
          <cell r="AL209" t="str">
            <v>五所川原取水堰</v>
          </cell>
          <cell r="AN209">
            <v>22.4</v>
          </cell>
          <cell r="AO209" t="str">
            <v>五所川原市</v>
          </cell>
          <cell r="AQ209" t="str">
            <v/>
          </cell>
          <cell r="AR209" t="str">
            <v>標準活性汚泥法</v>
          </cell>
          <cell r="AS209" t="str">
            <v>0220201001</v>
          </cell>
          <cell r="AT209" t="str">
            <v/>
          </cell>
          <cell r="AU209" t="str">
            <v>10</v>
          </cell>
          <cell r="AV209" t="str">
            <v>10</v>
          </cell>
          <cell r="AW209">
            <v>0</v>
          </cell>
          <cell r="AX209">
            <v>0</v>
          </cell>
          <cell r="AY209">
            <v>0</v>
          </cell>
          <cell r="AZ209">
            <v>0</v>
          </cell>
          <cell r="BA209">
            <v>0</v>
          </cell>
          <cell r="BD209" t="str">
            <v/>
          </cell>
          <cell r="BE209">
            <v>1</v>
          </cell>
          <cell r="BG209" t="str">
            <v>1100</v>
          </cell>
        </row>
        <row r="210">
          <cell r="B210" t="str">
            <v>G022020206100200</v>
          </cell>
          <cell r="C210" t="str">
            <v>02.青森県</v>
          </cell>
          <cell r="D210" t="str">
            <v>202</v>
          </cell>
          <cell r="E210" t="str">
            <v>弘前市</v>
          </cell>
          <cell r="F210" t="str">
            <v>02</v>
          </cell>
          <cell r="G210" t="str">
            <v>特環 単独</v>
          </cell>
          <cell r="H210" t="str">
            <v>特定環境保全公共下水道</v>
          </cell>
          <cell r="I210" t="str">
            <v>単独</v>
          </cell>
          <cell r="J210" t="str">
            <v>002</v>
          </cell>
          <cell r="K210" t="str">
            <v>湯口浄化センター</v>
          </cell>
          <cell r="M210" t="str">
            <v>1</v>
          </cell>
          <cell r="N210" t="str">
            <v>1</v>
          </cell>
          <cell r="Q210">
            <v>33064</v>
          </cell>
          <cell r="R210" t="str">
            <v>平成</v>
          </cell>
          <cell r="S210">
            <v>2</v>
          </cell>
          <cell r="T210">
            <v>7</v>
          </cell>
          <cell r="AB210">
            <v>5800</v>
          </cell>
          <cell r="AC210" t="str">
            <v>岩木川</v>
          </cell>
          <cell r="AD210" t="str">
            <v>Ａ</v>
          </cell>
          <cell r="AE210" t="str">
            <v>ロ</v>
          </cell>
          <cell r="AF210">
            <v>15</v>
          </cell>
          <cell r="AK210" t="str">
            <v>栩内川</v>
          </cell>
          <cell r="AL210" t="str">
            <v>岩木川取水堰</v>
          </cell>
          <cell r="AN210">
            <v>2.8</v>
          </cell>
          <cell r="AO210" t="str">
            <v>弘前市</v>
          </cell>
          <cell r="AQ210" t="str">
            <v/>
          </cell>
          <cell r="AR210" t="str">
            <v>オキシディションディッチ法</v>
          </cell>
          <cell r="AS210" t="str">
            <v>0220202002</v>
          </cell>
          <cell r="AT210" t="str">
            <v/>
          </cell>
          <cell r="AU210" t="str">
            <v>10</v>
          </cell>
          <cell r="AV210" t="str">
            <v>10</v>
          </cell>
          <cell r="AW210">
            <v>0</v>
          </cell>
          <cell r="AX210">
            <v>0</v>
          </cell>
          <cell r="AY210">
            <v>0</v>
          </cell>
          <cell r="AZ210">
            <v>0</v>
          </cell>
          <cell r="BA210">
            <v>0</v>
          </cell>
          <cell r="BD210" t="str">
            <v/>
          </cell>
          <cell r="BE210">
            <v>1</v>
          </cell>
          <cell r="BG210" t="str">
            <v>1100</v>
          </cell>
        </row>
        <row r="211">
          <cell r="B211" t="str">
            <v>G022030106100200</v>
          </cell>
          <cell r="C211" t="str">
            <v>02.青森県</v>
          </cell>
          <cell r="D211" t="str">
            <v>203</v>
          </cell>
          <cell r="E211" t="str">
            <v>八戸市</v>
          </cell>
          <cell r="F211" t="str">
            <v>01</v>
          </cell>
          <cell r="G211" t="str">
            <v>公共 単独</v>
          </cell>
          <cell r="H211" t="str">
            <v>公共下水道</v>
          </cell>
          <cell r="I211" t="str">
            <v>単独</v>
          </cell>
          <cell r="J211" t="str">
            <v>002</v>
          </cell>
          <cell r="K211" t="str">
            <v>是川住宅団地汚水処理場</v>
          </cell>
          <cell r="M211" t="str">
            <v>1</v>
          </cell>
          <cell r="N211" t="str">
            <v>1</v>
          </cell>
          <cell r="Q211">
            <v>26481</v>
          </cell>
          <cell r="R211" t="str">
            <v>昭和</v>
          </cell>
          <cell r="S211">
            <v>47</v>
          </cell>
          <cell r="T211">
            <v>7</v>
          </cell>
          <cell r="AB211">
            <v>6660</v>
          </cell>
          <cell r="AC211" t="str">
            <v>新井田川上流</v>
          </cell>
          <cell r="AD211" t="str">
            <v>Ａ</v>
          </cell>
          <cell r="AE211" t="str">
            <v>イ</v>
          </cell>
          <cell r="AF211">
            <v>15</v>
          </cell>
          <cell r="AJ211" t="str">
            <v>新井田川</v>
          </cell>
          <cell r="AL211" t="str">
            <v>是川ポンプ場</v>
          </cell>
          <cell r="AM211">
            <v>0.2</v>
          </cell>
          <cell r="AO211" t="str">
            <v>八戸圏域水道企業団</v>
          </cell>
          <cell r="AQ211" t="str">
            <v/>
          </cell>
          <cell r="AR211" t="str">
            <v>標準活性汚泥法</v>
          </cell>
          <cell r="AS211" t="str">
            <v>0220301002</v>
          </cell>
          <cell r="AT211" t="str">
            <v/>
          </cell>
          <cell r="AU211" t="str">
            <v>10</v>
          </cell>
          <cell r="AV211" t="str">
            <v>10</v>
          </cell>
          <cell r="AW211">
            <v>0</v>
          </cell>
          <cell r="AX211">
            <v>0</v>
          </cell>
          <cell r="AY211">
            <v>0</v>
          </cell>
          <cell r="AZ211">
            <v>0</v>
          </cell>
          <cell r="BA211">
            <v>0</v>
          </cell>
          <cell r="BD211" t="str">
            <v/>
          </cell>
          <cell r="BE211">
            <v>1</v>
          </cell>
          <cell r="BG211" t="str">
            <v>1100</v>
          </cell>
        </row>
        <row r="212">
          <cell r="B212" t="str">
            <v>G022030106100300</v>
          </cell>
          <cell r="C212" t="str">
            <v>02.青森県</v>
          </cell>
          <cell r="D212" t="str">
            <v>203</v>
          </cell>
          <cell r="E212" t="str">
            <v>八戸市</v>
          </cell>
          <cell r="F212" t="str">
            <v>01</v>
          </cell>
          <cell r="G212" t="str">
            <v>公共 単独</v>
          </cell>
          <cell r="H212" t="str">
            <v>公共下水道</v>
          </cell>
          <cell r="I212" t="str">
            <v>単独</v>
          </cell>
          <cell r="J212" t="str">
            <v>003</v>
          </cell>
          <cell r="K212" t="str">
            <v>東部終末処理場</v>
          </cell>
          <cell r="M212" t="str">
            <v>1</v>
          </cell>
          <cell r="N212" t="str">
            <v>1</v>
          </cell>
          <cell r="O212" t="str">
            <v>1</v>
          </cell>
          <cell r="P212" t="str">
            <v>1</v>
          </cell>
          <cell r="Q212">
            <v>28734</v>
          </cell>
          <cell r="R212" t="str">
            <v>昭和</v>
          </cell>
          <cell r="S212">
            <v>53</v>
          </cell>
          <cell r="T212">
            <v>9</v>
          </cell>
          <cell r="AB212">
            <v>144254</v>
          </cell>
          <cell r="AC212" t="str">
            <v>工業港（１）</v>
          </cell>
          <cell r="AD212" t="str">
            <v>Ｃ</v>
          </cell>
          <cell r="AE212" t="str">
            <v>ロ</v>
          </cell>
          <cell r="AF212">
            <v>15</v>
          </cell>
          <cell r="AI212" t="str">
            <v>八戸第一工業港</v>
          </cell>
          <cell r="AQ212" t="str">
            <v/>
          </cell>
          <cell r="AR212" t="str">
            <v>標準活性汚泥法</v>
          </cell>
          <cell r="AS212" t="str">
            <v>0220301003</v>
          </cell>
          <cell r="AT212" t="str">
            <v/>
          </cell>
          <cell r="AU212" t="str">
            <v>11</v>
          </cell>
          <cell r="AV212" t="str">
            <v>11</v>
          </cell>
          <cell r="AW212">
            <v>1</v>
          </cell>
          <cell r="AX212">
            <v>0</v>
          </cell>
          <cell r="AY212">
            <v>0</v>
          </cell>
          <cell r="AZ212">
            <v>0</v>
          </cell>
          <cell r="BA212">
            <v>0</v>
          </cell>
          <cell r="BD212" t="str">
            <v/>
          </cell>
          <cell r="BE212">
            <v>1</v>
          </cell>
          <cell r="BG212" t="str">
            <v>1111</v>
          </cell>
        </row>
        <row r="213">
          <cell r="B213" t="str">
            <v>G022050106100100</v>
          </cell>
          <cell r="C213" t="str">
            <v>02.青森県</v>
          </cell>
          <cell r="D213" t="str">
            <v>205</v>
          </cell>
          <cell r="E213" t="str">
            <v>五所川原市</v>
          </cell>
          <cell r="F213" t="str">
            <v>01</v>
          </cell>
          <cell r="G213" t="str">
            <v>公共 単独</v>
          </cell>
          <cell r="H213" t="str">
            <v>公共下水道</v>
          </cell>
          <cell r="I213" t="str">
            <v>単独</v>
          </cell>
          <cell r="J213" t="str">
            <v>001</v>
          </cell>
          <cell r="K213" t="str">
            <v>五所川原市浄化センター</v>
          </cell>
          <cell r="M213" t="str">
            <v>1</v>
          </cell>
          <cell r="N213" t="str">
            <v>1</v>
          </cell>
          <cell r="Q213">
            <v>30795</v>
          </cell>
          <cell r="R213" t="str">
            <v>昭和</v>
          </cell>
          <cell r="S213">
            <v>59</v>
          </cell>
          <cell r="T213">
            <v>4</v>
          </cell>
          <cell r="AB213">
            <v>51381</v>
          </cell>
          <cell r="AC213" t="str">
            <v>岩木川水系</v>
          </cell>
          <cell r="AD213" t="str">
            <v>Ａ</v>
          </cell>
          <cell r="AE213" t="str">
            <v>ロ</v>
          </cell>
          <cell r="AK213" t="str">
            <v>旧十川</v>
          </cell>
          <cell r="AQ213" t="str">
            <v/>
          </cell>
          <cell r="AR213" t="str">
            <v>標準活性汚泥法</v>
          </cell>
          <cell r="AS213" t="str">
            <v>0220501001</v>
          </cell>
          <cell r="AT213" t="str">
            <v/>
          </cell>
          <cell r="AU213" t="str">
            <v>10</v>
          </cell>
          <cell r="AV213" t="str">
            <v>10</v>
          </cell>
          <cell r="AW213">
            <v>0</v>
          </cell>
          <cell r="AX213">
            <v>0</v>
          </cell>
          <cell r="AY213">
            <v>0</v>
          </cell>
          <cell r="AZ213">
            <v>0</v>
          </cell>
          <cell r="BA213">
            <v>0</v>
          </cell>
          <cell r="BD213" t="str">
            <v/>
          </cell>
          <cell r="BE213">
            <v>1</v>
          </cell>
          <cell r="BG213" t="str">
            <v>1100</v>
          </cell>
        </row>
        <row r="214">
          <cell r="B214" t="str">
            <v>G022050206100200</v>
          </cell>
          <cell r="C214" t="str">
            <v>02.青森県</v>
          </cell>
          <cell r="D214" t="str">
            <v>205</v>
          </cell>
          <cell r="E214" t="str">
            <v>五所川原市</v>
          </cell>
          <cell r="F214" t="str">
            <v>02</v>
          </cell>
          <cell r="G214" t="str">
            <v>特環 単独</v>
          </cell>
          <cell r="H214" t="str">
            <v>特定環境保全公共下水道</v>
          </cell>
          <cell r="I214" t="str">
            <v>単独</v>
          </cell>
          <cell r="J214" t="str">
            <v>002</v>
          </cell>
          <cell r="K214" t="str">
            <v>相内地区浄化センター</v>
          </cell>
          <cell r="M214" t="str">
            <v>1</v>
          </cell>
          <cell r="Q214">
            <v>37711</v>
          </cell>
          <cell r="R214" t="str">
            <v>平成</v>
          </cell>
          <cell r="S214">
            <v>15</v>
          </cell>
          <cell r="T214">
            <v>3</v>
          </cell>
          <cell r="AB214">
            <v>3304</v>
          </cell>
          <cell r="AC214" t="str">
            <v>岩木川</v>
          </cell>
          <cell r="AD214" t="str">
            <v>Ｂ</v>
          </cell>
          <cell r="AE214" t="str">
            <v>ロ</v>
          </cell>
          <cell r="AK214" t="str">
            <v>岩木川水系相内川</v>
          </cell>
          <cell r="AQ214" t="str">
            <v/>
          </cell>
          <cell r="AR214" t="str">
            <v>オキシディションディッチ法</v>
          </cell>
          <cell r="AS214" t="str">
            <v>0220502002</v>
          </cell>
          <cell r="AT214" t="str">
            <v/>
          </cell>
          <cell r="AU214" t="str">
            <v>00</v>
          </cell>
          <cell r="AV214" t="str">
            <v>00</v>
          </cell>
          <cell r="AW214">
            <v>0</v>
          </cell>
          <cell r="AX214">
            <v>0</v>
          </cell>
          <cell r="AY214">
            <v>0</v>
          </cell>
          <cell r="AZ214">
            <v>0</v>
          </cell>
          <cell r="BA214">
            <v>0</v>
          </cell>
          <cell r="BD214" t="str">
            <v/>
          </cell>
          <cell r="BE214">
            <v>1</v>
          </cell>
          <cell r="BG214" t="str">
            <v>1000</v>
          </cell>
        </row>
        <row r="215">
          <cell r="B215" t="str">
            <v>G022060106100100</v>
          </cell>
          <cell r="C215" t="str">
            <v>02.青森県</v>
          </cell>
          <cell r="D215" t="str">
            <v>206</v>
          </cell>
          <cell r="E215" t="str">
            <v>十和田市</v>
          </cell>
          <cell r="F215" t="str">
            <v>01</v>
          </cell>
          <cell r="G215" t="str">
            <v>公共 単独</v>
          </cell>
          <cell r="H215" t="str">
            <v>公共下水道</v>
          </cell>
          <cell r="I215" t="str">
            <v>単独</v>
          </cell>
          <cell r="J215" t="str">
            <v>001</v>
          </cell>
          <cell r="K215" t="str">
            <v>十和田下水処理場</v>
          </cell>
          <cell r="M215" t="str">
            <v>1</v>
          </cell>
          <cell r="N215" t="str">
            <v>1</v>
          </cell>
          <cell r="Q215">
            <v>29434</v>
          </cell>
          <cell r="R215" t="str">
            <v>昭和</v>
          </cell>
          <cell r="S215">
            <v>55</v>
          </cell>
          <cell r="T215">
            <v>8</v>
          </cell>
          <cell r="AB215">
            <v>35600</v>
          </cell>
          <cell r="AC215" t="str">
            <v>新井田川河口水域</v>
          </cell>
          <cell r="AD215" t="str">
            <v>Ａ</v>
          </cell>
          <cell r="AE215" t="str">
            <v>イ</v>
          </cell>
          <cell r="AF215">
            <v>15</v>
          </cell>
          <cell r="AJ215" t="str">
            <v>奥入瀬川</v>
          </cell>
          <cell r="AQ215" t="str">
            <v/>
          </cell>
          <cell r="AR215" t="str">
            <v>標準活性汚泥法</v>
          </cell>
          <cell r="AS215" t="str">
            <v>0220601001</v>
          </cell>
          <cell r="AT215" t="str">
            <v/>
          </cell>
          <cell r="AU215" t="str">
            <v>10</v>
          </cell>
          <cell r="AV215" t="str">
            <v>10</v>
          </cell>
          <cell r="AW215">
            <v>0</v>
          </cell>
          <cell r="AX215">
            <v>0</v>
          </cell>
          <cell r="AY215">
            <v>0</v>
          </cell>
          <cell r="AZ215">
            <v>0</v>
          </cell>
          <cell r="BA215">
            <v>0</v>
          </cell>
          <cell r="BD215" t="str">
            <v/>
          </cell>
          <cell r="BE215">
            <v>1</v>
          </cell>
          <cell r="BG215" t="str">
            <v>1100</v>
          </cell>
        </row>
        <row r="216">
          <cell r="B216" t="str">
            <v>G022060206100200</v>
          </cell>
          <cell r="C216" t="str">
            <v>02.青森県</v>
          </cell>
          <cell r="D216" t="str">
            <v>206</v>
          </cell>
          <cell r="E216" t="str">
            <v>十和田市</v>
          </cell>
          <cell r="F216" t="str">
            <v>02</v>
          </cell>
          <cell r="G216" t="str">
            <v>特環 単独</v>
          </cell>
          <cell r="H216" t="str">
            <v>特定環境保全公共下水道</v>
          </cell>
          <cell r="I216" t="str">
            <v>単独</v>
          </cell>
          <cell r="J216" t="str">
            <v>002</v>
          </cell>
          <cell r="K216" t="str">
            <v>焼山浄化センター</v>
          </cell>
          <cell r="M216" t="str">
            <v>1</v>
          </cell>
          <cell r="Q216">
            <v>36678</v>
          </cell>
          <cell r="R216" t="str">
            <v>平成</v>
          </cell>
          <cell r="S216">
            <v>12</v>
          </cell>
          <cell r="T216">
            <v>6</v>
          </cell>
          <cell r="AB216">
            <v>2325</v>
          </cell>
          <cell r="AC216" t="str">
            <v>新田川河口水域</v>
          </cell>
          <cell r="AD216" t="str">
            <v>Ａ</v>
          </cell>
          <cell r="AE216" t="str">
            <v>イ</v>
          </cell>
          <cell r="AF216">
            <v>15</v>
          </cell>
          <cell r="AJ216" t="str">
            <v>奥入瀬川</v>
          </cell>
          <cell r="AQ216" t="str">
            <v/>
          </cell>
          <cell r="AR216" t="str">
            <v>好気性ろ床法</v>
          </cell>
          <cell r="AS216" t="str">
            <v>0220602002</v>
          </cell>
          <cell r="AT216" t="str">
            <v/>
          </cell>
          <cell r="AU216" t="str">
            <v>00</v>
          </cell>
          <cell r="AV216" t="str">
            <v>00</v>
          </cell>
          <cell r="AW216">
            <v>0</v>
          </cell>
          <cell r="AX216">
            <v>0</v>
          </cell>
          <cell r="AY216">
            <v>0</v>
          </cell>
          <cell r="AZ216">
            <v>0</v>
          </cell>
          <cell r="BA216">
            <v>0</v>
          </cell>
          <cell r="BD216" t="str">
            <v/>
          </cell>
          <cell r="BE216">
            <v>1</v>
          </cell>
          <cell r="BG216" t="str">
            <v>1000</v>
          </cell>
        </row>
        <row r="217">
          <cell r="B217" t="str">
            <v>G022070106100100</v>
          </cell>
          <cell r="C217" t="str">
            <v>02.青森県</v>
          </cell>
          <cell r="D217" t="str">
            <v>207</v>
          </cell>
          <cell r="E217" t="str">
            <v>三沢市</v>
          </cell>
          <cell r="F217" t="str">
            <v>01</v>
          </cell>
          <cell r="G217" t="str">
            <v>公共 単独</v>
          </cell>
          <cell r="H217" t="str">
            <v>公共下水道</v>
          </cell>
          <cell r="I217" t="str">
            <v>単独</v>
          </cell>
          <cell r="J217" t="str">
            <v>001</v>
          </cell>
          <cell r="K217" t="str">
            <v>三沢市浄化センター</v>
          </cell>
          <cell r="M217" t="str">
            <v>1</v>
          </cell>
          <cell r="N217" t="str">
            <v>1</v>
          </cell>
          <cell r="Q217">
            <v>34973</v>
          </cell>
          <cell r="R217" t="str">
            <v>平成</v>
          </cell>
          <cell r="S217">
            <v>7</v>
          </cell>
          <cell r="T217">
            <v>10</v>
          </cell>
          <cell r="AB217">
            <v>39100</v>
          </cell>
          <cell r="AC217" t="str">
            <v>東通り海域</v>
          </cell>
          <cell r="AD217" t="str">
            <v>Ａ</v>
          </cell>
          <cell r="AE217" t="str">
            <v>イ</v>
          </cell>
          <cell r="AF217">
            <v>15</v>
          </cell>
          <cell r="AI217" t="str">
            <v>三沢川</v>
          </cell>
          <cell r="AQ217" t="str">
            <v/>
          </cell>
          <cell r="AR217" t="str">
            <v>標準活性汚泥法</v>
          </cell>
          <cell r="AS217" t="str">
            <v>0220701001</v>
          </cell>
          <cell r="AT217" t="str">
            <v/>
          </cell>
          <cell r="AU217" t="str">
            <v>10</v>
          </cell>
          <cell r="AV217" t="str">
            <v>10</v>
          </cell>
          <cell r="AW217">
            <v>0</v>
          </cell>
          <cell r="AX217">
            <v>0</v>
          </cell>
          <cell r="AY217">
            <v>0</v>
          </cell>
          <cell r="AZ217">
            <v>0</v>
          </cell>
          <cell r="BA217">
            <v>0</v>
          </cell>
          <cell r="BD217" t="str">
            <v/>
          </cell>
          <cell r="BE217">
            <v>1</v>
          </cell>
          <cell r="BG217" t="str">
            <v>1100</v>
          </cell>
        </row>
        <row r="218">
          <cell r="B218" t="str">
            <v>G022080106100100</v>
          </cell>
          <cell r="C218" t="str">
            <v>02.青森県</v>
          </cell>
          <cell r="D218" t="str">
            <v>208</v>
          </cell>
          <cell r="E218" t="str">
            <v>むつ市</v>
          </cell>
          <cell r="F218" t="str">
            <v>01</v>
          </cell>
          <cell r="G218" t="str">
            <v>公共 単独</v>
          </cell>
          <cell r="H218" t="str">
            <v>公共下水道</v>
          </cell>
          <cell r="I218" t="str">
            <v>単独</v>
          </cell>
          <cell r="J218" t="str">
            <v>001</v>
          </cell>
          <cell r="K218" t="str">
            <v>むつ下水浄化センター</v>
          </cell>
          <cell r="M218" t="str">
            <v>1</v>
          </cell>
          <cell r="N218" t="str">
            <v>1</v>
          </cell>
          <cell r="Q218">
            <v>37712</v>
          </cell>
          <cell r="R218" t="str">
            <v>平成</v>
          </cell>
          <cell r="S218">
            <v>15</v>
          </cell>
          <cell r="T218">
            <v>4</v>
          </cell>
          <cell r="AB218">
            <v>50315</v>
          </cell>
          <cell r="AC218" t="str">
            <v>田名部川</v>
          </cell>
          <cell r="AD218" t="str">
            <v>Ｂ</v>
          </cell>
          <cell r="AE218" t="str">
            <v>ロ</v>
          </cell>
          <cell r="AF218">
            <v>15</v>
          </cell>
          <cell r="AJ218" t="str">
            <v>新田名部川</v>
          </cell>
          <cell r="AQ218" t="str">
            <v/>
          </cell>
          <cell r="AR218" t="str">
            <v>長時間エアレーション法</v>
          </cell>
          <cell r="AS218" t="str">
            <v>0220801001</v>
          </cell>
          <cell r="AT218" t="str">
            <v/>
          </cell>
          <cell r="AU218" t="str">
            <v>10</v>
          </cell>
          <cell r="AV218" t="str">
            <v>10</v>
          </cell>
          <cell r="AW218">
            <v>0</v>
          </cell>
          <cell r="AX218">
            <v>0</v>
          </cell>
          <cell r="AY218">
            <v>0</v>
          </cell>
          <cell r="AZ218">
            <v>0</v>
          </cell>
          <cell r="BA218">
            <v>0</v>
          </cell>
          <cell r="BD218" t="str">
            <v/>
          </cell>
          <cell r="BE218">
            <v>1</v>
          </cell>
          <cell r="BG218" t="str">
            <v>1100</v>
          </cell>
        </row>
        <row r="219">
          <cell r="B219" t="str">
            <v>G022080106100200</v>
          </cell>
          <cell r="C219" t="str">
            <v>02.青森県</v>
          </cell>
          <cell r="D219" t="str">
            <v>208</v>
          </cell>
          <cell r="E219" t="str">
            <v>むつ市</v>
          </cell>
          <cell r="F219" t="str">
            <v>01</v>
          </cell>
          <cell r="G219" t="str">
            <v>公共 単独</v>
          </cell>
          <cell r="H219" t="str">
            <v>公共下水道</v>
          </cell>
          <cell r="I219" t="str">
            <v>単独</v>
          </cell>
          <cell r="J219" t="str">
            <v>002</v>
          </cell>
          <cell r="K219" t="str">
            <v>大畑下水浄化センター</v>
          </cell>
          <cell r="M219" t="str">
            <v>1</v>
          </cell>
          <cell r="N219" t="str">
            <v>1</v>
          </cell>
          <cell r="Q219">
            <v>38078</v>
          </cell>
          <cell r="R219" t="str">
            <v>平成</v>
          </cell>
          <cell r="S219">
            <v>16</v>
          </cell>
          <cell r="T219">
            <v>4</v>
          </cell>
          <cell r="AB219">
            <v>18200</v>
          </cell>
          <cell r="AC219" t="str">
            <v>大畑川</v>
          </cell>
          <cell r="AD219" t="str">
            <v>Ａ</v>
          </cell>
          <cell r="AE219" t="str">
            <v>イ</v>
          </cell>
          <cell r="AF219">
            <v>15</v>
          </cell>
          <cell r="AI219" t="str">
            <v>農業排水路</v>
          </cell>
          <cell r="AJ219" t="str">
            <v>大畑川</v>
          </cell>
          <cell r="AQ219" t="str">
            <v/>
          </cell>
          <cell r="AR219" t="str">
            <v>オキシディションディッチ法</v>
          </cell>
          <cell r="AS219" t="str">
            <v>0220801002</v>
          </cell>
          <cell r="AT219" t="str">
            <v/>
          </cell>
          <cell r="AU219" t="str">
            <v>10</v>
          </cell>
          <cell r="AV219" t="str">
            <v>10</v>
          </cell>
          <cell r="AW219">
            <v>0</v>
          </cell>
          <cell r="AX219">
            <v>0</v>
          </cell>
          <cell r="AY219">
            <v>0</v>
          </cell>
          <cell r="AZ219">
            <v>0</v>
          </cell>
          <cell r="BA219">
            <v>0</v>
          </cell>
          <cell r="BD219" t="str">
            <v/>
          </cell>
          <cell r="BE219">
            <v>1</v>
          </cell>
          <cell r="BG219" t="str">
            <v>1100</v>
          </cell>
        </row>
        <row r="220">
          <cell r="B220" t="str">
            <v>G022080206100300</v>
          </cell>
          <cell r="C220" t="str">
            <v>02.青森県</v>
          </cell>
          <cell r="D220" t="str">
            <v>208</v>
          </cell>
          <cell r="E220" t="str">
            <v>むつ市</v>
          </cell>
          <cell r="F220" t="str">
            <v>02</v>
          </cell>
          <cell r="G220" t="str">
            <v>特環 単独</v>
          </cell>
          <cell r="H220" t="str">
            <v>特定環境保全公共下水道</v>
          </cell>
          <cell r="I220" t="str">
            <v>単独</v>
          </cell>
          <cell r="J220" t="str">
            <v>003</v>
          </cell>
          <cell r="K220" t="str">
            <v>川内下水浄化センター</v>
          </cell>
          <cell r="M220" t="str">
            <v>1</v>
          </cell>
          <cell r="N220" t="str">
            <v>1</v>
          </cell>
          <cell r="Q220">
            <v>36800</v>
          </cell>
          <cell r="R220" t="str">
            <v>平成</v>
          </cell>
          <cell r="S220">
            <v>12</v>
          </cell>
          <cell r="T220">
            <v>10</v>
          </cell>
          <cell r="AB220">
            <v>10206</v>
          </cell>
          <cell r="AC220" t="str">
            <v>川内川</v>
          </cell>
          <cell r="AD220" t="str">
            <v>Ａ</v>
          </cell>
          <cell r="AE220" t="str">
            <v>ロ</v>
          </cell>
          <cell r="AF220">
            <v>15</v>
          </cell>
          <cell r="AJ220" t="str">
            <v>川内川</v>
          </cell>
          <cell r="AQ220" t="str">
            <v/>
          </cell>
          <cell r="AR220" t="str">
            <v>オキシディションディッチ法</v>
          </cell>
          <cell r="AS220" t="str">
            <v>0220802003</v>
          </cell>
          <cell r="AT220" t="str">
            <v/>
          </cell>
          <cell r="AU220" t="str">
            <v>10</v>
          </cell>
          <cell r="AV220" t="str">
            <v>10</v>
          </cell>
          <cell r="AW220">
            <v>0</v>
          </cell>
          <cell r="AX220">
            <v>0</v>
          </cell>
          <cell r="AY220">
            <v>0</v>
          </cell>
          <cell r="AZ220">
            <v>0</v>
          </cell>
          <cell r="BA220">
            <v>0</v>
          </cell>
          <cell r="BD220" t="str">
            <v/>
          </cell>
          <cell r="BE220">
            <v>1</v>
          </cell>
          <cell r="BG220" t="str">
            <v>1100</v>
          </cell>
        </row>
        <row r="221">
          <cell r="B221" t="str">
            <v>G022080206100400</v>
          </cell>
          <cell r="C221" t="str">
            <v>02.青森県</v>
          </cell>
          <cell r="D221" t="str">
            <v>208</v>
          </cell>
          <cell r="E221" t="str">
            <v>むつ市</v>
          </cell>
          <cell r="F221" t="str">
            <v>02</v>
          </cell>
          <cell r="G221" t="str">
            <v>特環 単独</v>
          </cell>
          <cell r="H221" t="str">
            <v>特定環境保全公共下水道</v>
          </cell>
          <cell r="I221" t="str">
            <v>単独</v>
          </cell>
          <cell r="J221" t="str">
            <v>004</v>
          </cell>
          <cell r="K221" t="str">
            <v>脇野沢下水浄化センター</v>
          </cell>
          <cell r="M221" t="str">
            <v>1</v>
          </cell>
          <cell r="N221" t="str">
            <v>1</v>
          </cell>
          <cell r="Q221">
            <v>37469</v>
          </cell>
          <cell r="R221" t="str">
            <v>平成</v>
          </cell>
          <cell r="S221">
            <v>14</v>
          </cell>
          <cell r="T221">
            <v>8</v>
          </cell>
          <cell r="AB221">
            <v>5970</v>
          </cell>
          <cell r="AC221" t="str">
            <v>設定なし</v>
          </cell>
          <cell r="AF221">
            <v>20</v>
          </cell>
          <cell r="AI221" t="str">
            <v>辰内川</v>
          </cell>
          <cell r="AQ221" t="str">
            <v/>
          </cell>
          <cell r="AR221" t="str">
            <v>オキシディションディッチ法</v>
          </cell>
          <cell r="AS221" t="str">
            <v>0220802004</v>
          </cell>
          <cell r="AT221" t="str">
            <v/>
          </cell>
          <cell r="AU221" t="str">
            <v>10</v>
          </cell>
          <cell r="AV221" t="str">
            <v>10</v>
          </cell>
          <cell r="AW221">
            <v>0</v>
          </cell>
          <cell r="AX221">
            <v>0</v>
          </cell>
          <cell r="AY221">
            <v>0</v>
          </cell>
          <cell r="AZ221">
            <v>0</v>
          </cell>
          <cell r="BA221">
            <v>0</v>
          </cell>
          <cell r="BD221" t="str">
            <v/>
          </cell>
          <cell r="BE221">
            <v>1</v>
          </cell>
          <cell r="BG221" t="str">
            <v>1100</v>
          </cell>
        </row>
        <row r="222">
          <cell r="B222" t="str">
            <v>G022090106100100</v>
          </cell>
          <cell r="C222" t="str">
            <v>02.青森県</v>
          </cell>
          <cell r="D222" t="str">
            <v>209</v>
          </cell>
          <cell r="E222" t="str">
            <v>つがる市</v>
          </cell>
          <cell r="F222" t="str">
            <v>01</v>
          </cell>
          <cell r="G222" t="str">
            <v>公共 単独</v>
          </cell>
          <cell r="H222" t="str">
            <v>公共下水道</v>
          </cell>
          <cell r="I222" t="str">
            <v>単独</v>
          </cell>
          <cell r="J222" t="str">
            <v>001</v>
          </cell>
          <cell r="K222" t="str">
            <v>つがる市木造浄化センター</v>
          </cell>
          <cell r="M222" t="str">
            <v>1</v>
          </cell>
          <cell r="N222" t="str">
            <v>1</v>
          </cell>
          <cell r="Q222">
            <v>35886</v>
          </cell>
          <cell r="R222" t="str">
            <v>平成</v>
          </cell>
          <cell r="S222">
            <v>10</v>
          </cell>
          <cell r="T222">
            <v>4</v>
          </cell>
          <cell r="U222" t="str">
            <v>名称変更</v>
          </cell>
          <cell r="V222">
            <v>38394</v>
          </cell>
          <cell r="W222" t="str">
            <v>平成</v>
          </cell>
          <cell r="X222">
            <v>17</v>
          </cell>
          <cell r="Y222">
            <v>2</v>
          </cell>
          <cell r="Z222" t="str">
            <v>木造町浄化センター</v>
          </cell>
          <cell r="AB222">
            <v>25640</v>
          </cell>
          <cell r="AC222" t="str">
            <v>岩木川水域</v>
          </cell>
          <cell r="AD222" t="str">
            <v>Ａ</v>
          </cell>
          <cell r="AE222" t="str">
            <v>イ</v>
          </cell>
          <cell r="AF222">
            <v>15</v>
          </cell>
          <cell r="AI222" t="str">
            <v>中の川排水路</v>
          </cell>
          <cell r="AK222" t="str">
            <v>山田川</v>
          </cell>
          <cell r="AQ222" t="str">
            <v/>
          </cell>
          <cell r="AR222" t="str">
            <v>オキシディションディッチ法</v>
          </cell>
          <cell r="AS222" t="str">
            <v>0220901001</v>
          </cell>
          <cell r="AT222" t="str">
            <v/>
          </cell>
          <cell r="AU222" t="str">
            <v>10</v>
          </cell>
          <cell r="AV222" t="str">
            <v>10</v>
          </cell>
          <cell r="AW222">
            <v>0</v>
          </cell>
          <cell r="AX222">
            <v>0</v>
          </cell>
          <cell r="AY222">
            <v>0</v>
          </cell>
          <cell r="AZ222">
            <v>0</v>
          </cell>
          <cell r="BA222">
            <v>0</v>
          </cell>
          <cell r="BD222" t="str">
            <v/>
          </cell>
          <cell r="BE222">
            <v>1</v>
          </cell>
          <cell r="BG222" t="str">
            <v>1100</v>
          </cell>
        </row>
        <row r="223">
          <cell r="B223" t="str">
            <v>G022090206100200</v>
          </cell>
          <cell r="C223" t="str">
            <v>02.青森県</v>
          </cell>
          <cell r="D223" t="str">
            <v>209</v>
          </cell>
          <cell r="E223" t="str">
            <v>つがる市</v>
          </cell>
          <cell r="F223" t="str">
            <v>02</v>
          </cell>
          <cell r="G223" t="str">
            <v>特環 単独</v>
          </cell>
          <cell r="H223" t="str">
            <v>特定環境保全公共下水道</v>
          </cell>
          <cell r="I223" t="str">
            <v>単独</v>
          </cell>
          <cell r="J223" t="str">
            <v>002</v>
          </cell>
          <cell r="K223" t="str">
            <v>つがる市富萢浄化センター</v>
          </cell>
          <cell r="M223" t="str">
            <v>1</v>
          </cell>
          <cell r="N223" t="str">
            <v>1</v>
          </cell>
          <cell r="Q223">
            <v>37712</v>
          </cell>
          <cell r="R223" t="str">
            <v>平成</v>
          </cell>
          <cell r="S223">
            <v>15</v>
          </cell>
          <cell r="T223">
            <v>4</v>
          </cell>
          <cell r="U223" t="str">
            <v>名称変更</v>
          </cell>
          <cell r="V223">
            <v>38394</v>
          </cell>
          <cell r="W223" t="str">
            <v>平成</v>
          </cell>
          <cell r="X223">
            <v>17</v>
          </cell>
          <cell r="Y223">
            <v>2</v>
          </cell>
          <cell r="Z223" t="str">
            <v>車力村浄化センター</v>
          </cell>
          <cell r="AB223">
            <v>5500</v>
          </cell>
          <cell r="AC223" t="str">
            <v>岩木川下流</v>
          </cell>
          <cell r="AD223" t="str">
            <v>Ｂ</v>
          </cell>
          <cell r="AE223" t="str">
            <v>ロ</v>
          </cell>
          <cell r="AF223">
            <v>15</v>
          </cell>
          <cell r="AK223" t="str">
            <v>岩木川水系山田川</v>
          </cell>
          <cell r="AQ223" t="str">
            <v/>
          </cell>
          <cell r="AR223" t="str">
            <v>オキシディションディッチ法</v>
          </cell>
          <cell r="AS223" t="str">
            <v>0220902002</v>
          </cell>
          <cell r="AT223" t="str">
            <v/>
          </cell>
          <cell r="AU223" t="str">
            <v>10</v>
          </cell>
          <cell r="AV223" t="str">
            <v>10</v>
          </cell>
          <cell r="AW223">
            <v>0</v>
          </cell>
          <cell r="AX223">
            <v>0</v>
          </cell>
          <cell r="AY223">
            <v>0</v>
          </cell>
          <cell r="AZ223">
            <v>0</v>
          </cell>
          <cell r="BA223">
            <v>0</v>
          </cell>
          <cell r="BD223" t="str">
            <v/>
          </cell>
          <cell r="BE223">
            <v>1</v>
          </cell>
          <cell r="BG223" t="str">
            <v>1100</v>
          </cell>
        </row>
        <row r="224">
          <cell r="B224" t="str">
            <v>G022100206100100</v>
          </cell>
          <cell r="C224" t="str">
            <v>02.青森県</v>
          </cell>
          <cell r="D224" t="str">
            <v>210</v>
          </cell>
          <cell r="E224" t="str">
            <v>平川市</v>
          </cell>
          <cell r="F224" t="str">
            <v>02</v>
          </cell>
          <cell r="G224" t="str">
            <v>特環 単独</v>
          </cell>
          <cell r="H224" t="str">
            <v>特定環境保全公共下水道</v>
          </cell>
          <cell r="I224" t="str">
            <v>単独</v>
          </cell>
          <cell r="J224" t="str">
            <v>001</v>
          </cell>
          <cell r="K224" t="str">
            <v>碇ヶ関浄化センター</v>
          </cell>
          <cell r="M224" t="str">
            <v>1</v>
          </cell>
          <cell r="N224" t="str">
            <v>1</v>
          </cell>
          <cell r="Q224">
            <v>36617</v>
          </cell>
          <cell r="R224" t="str">
            <v>平成</v>
          </cell>
          <cell r="S224">
            <v>12</v>
          </cell>
          <cell r="T224">
            <v>4</v>
          </cell>
          <cell r="AB224">
            <v>6000</v>
          </cell>
          <cell r="AF224">
            <v>15</v>
          </cell>
          <cell r="AI224" t="str">
            <v>農業用排水路</v>
          </cell>
          <cell r="AL224" t="str">
            <v>久吉ダム水道企業団</v>
          </cell>
          <cell r="AM224">
            <v>9.5</v>
          </cell>
          <cell r="AN224">
            <v>50</v>
          </cell>
          <cell r="AO224" t="str">
            <v>平川市、大鰐町</v>
          </cell>
          <cell r="AQ224" t="str">
            <v/>
          </cell>
          <cell r="AR224" t="str">
            <v>オキシディションディッチ法</v>
          </cell>
          <cell r="AS224" t="str">
            <v>0221002001</v>
          </cell>
          <cell r="AT224" t="str">
            <v/>
          </cell>
          <cell r="AU224" t="str">
            <v>10</v>
          </cell>
          <cell r="AV224" t="str">
            <v>10</v>
          </cell>
          <cell r="AW224">
            <v>0</v>
          </cell>
          <cell r="AX224">
            <v>0</v>
          </cell>
          <cell r="AY224">
            <v>0</v>
          </cell>
          <cell r="AZ224">
            <v>0</v>
          </cell>
          <cell r="BA224">
            <v>0</v>
          </cell>
          <cell r="BD224" t="str">
            <v/>
          </cell>
          <cell r="BE224">
            <v>1</v>
          </cell>
          <cell r="BG224" t="str">
            <v>1100</v>
          </cell>
        </row>
        <row r="225">
          <cell r="B225" t="str">
            <v>G023010106100100</v>
          </cell>
          <cell r="C225" t="str">
            <v>02.青森県</v>
          </cell>
          <cell r="D225" t="str">
            <v>301</v>
          </cell>
          <cell r="E225" t="str">
            <v>平内町</v>
          </cell>
          <cell r="F225" t="str">
            <v>01</v>
          </cell>
          <cell r="G225" t="str">
            <v>公共 単独</v>
          </cell>
          <cell r="H225" t="str">
            <v>公共下水道</v>
          </cell>
          <cell r="I225" t="str">
            <v>単独</v>
          </cell>
          <cell r="J225" t="str">
            <v>001</v>
          </cell>
          <cell r="K225" t="str">
            <v>平内浄化センター</v>
          </cell>
          <cell r="M225" t="str">
            <v>1</v>
          </cell>
          <cell r="N225" t="str">
            <v>1</v>
          </cell>
          <cell r="Q225">
            <v>38808</v>
          </cell>
          <cell r="R225" t="str">
            <v>平成</v>
          </cell>
          <cell r="S225">
            <v>18</v>
          </cell>
          <cell r="T225">
            <v>4</v>
          </cell>
          <cell r="AB225">
            <v>28500</v>
          </cell>
          <cell r="AC225" t="str">
            <v>設定なし</v>
          </cell>
          <cell r="AF225">
            <v>15</v>
          </cell>
          <cell r="AI225" t="str">
            <v>陸奥湾</v>
          </cell>
          <cell r="AJ225" t="str">
            <v>小湊川</v>
          </cell>
          <cell r="AQ225" t="str">
            <v/>
          </cell>
          <cell r="AR225" t="str">
            <v>オキシディションディッチ法</v>
          </cell>
          <cell r="AS225" t="str">
            <v>0230101001</v>
          </cell>
          <cell r="AT225" t="str">
            <v/>
          </cell>
          <cell r="AU225" t="str">
            <v>10</v>
          </cell>
          <cell r="AV225" t="str">
            <v>10</v>
          </cell>
          <cell r="AW225">
            <v>0</v>
          </cell>
          <cell r="AX225">
            <v>0</v>
          </cell>
          <cell r="AY225">
            <v>0</v>
          </cell>
          <cell r="AZ225">
            <v>0</v>
          </cell>
          <cell r="BA225">
            <v>0</v>
          </cell>
          <cell r="BD225" t="str">
            <v/>
          </cell>
          <cell r="BE225">
            <v>1</v>
          </cell>
          <cell r="BG225" t="str">
            <v>1100</v>
          </cell>
        </row>
        <row r="226">
          <cell r="B226" t="str">
            <v>G023070206100100</v>
          </cell>
          <cell r="C226" t="str">
            <v>02.青森県</v>
          </cell>
          <cell r="D226" t="str">
            <v>307</v>
          </cell>
          <cell r="E226" t="str">
            <v>外ヶ浜町</v>
          </cell>
          <cell r="F226" t="str">
            <v>02</v>
          </cell>
          <cell r="G226" t="str">
            <v>特環 単独</v>
          </cell>
          <cell r="H226" t="str">
            <v>特定環境保全公共下水道</v>
          </cell>
          <cell r="I226" t="str">
            <v>単独</v>
          </cell>
          <cell r="J226" t="str">
            <v>001</v>
          </cell>
          <cell r="K226" t="str">
            <v>平舘浄化センター</v>
          </cell>
          <cell r="M226" t="str">
            <v>1</v>
          </cell>
          <cell r="Q226">
            <v>38443</v>
          </cell>
          <cell r="R226" t="str">
            <v>平成</v>
          </cell>
          <cell r="S226">
            <v>17</v>
          </cell>
          <cell r="T226">
            <v>4</v>
          </cell>
          <cell r="AB226">
            <v>7400</v>
          </cell>
          <cell r="AC226" t="str">
            <v>陸奥湾</v>
          </cell>
          <cell r="AD226" t="str">
            <v>Ａ</v>
          </cell>
          <cell r="AE226" t="str">
            <v>イ</v>
          </cell>
          <cell r="AF226">
            <v>15</v>
          </cell>
          <cell r="AI226" t="str">
            <v>陸奥湾</v>
          </cell>
          <cell r="AQ226" t="str">
            <v/>
          </cell>
          <cell r="AR226" t="str">
            <v>オキシディションディッチ法</v>
          </cell>
          <cell r="AS226" t="str">
            <v>0230702001</v>
          </cell>
          <cell r="AT226" t="str">
            <v/>
          </cell>
          <cell r="AU226" t="str">
            <v>00</v>
          </cell>
          <cell r="AV226" t="str">
            <v>00</v>
          </cell>
          <cell r="AW226">
            <v>0</v>
          </cell>
          <cell r="AX226">
            <v>0</v>
          </cell>
          <cell r="AY226">
            <v>0</v>
          </cell>
          <cell r="AZ226">
            <v>0</v>
          </cell>
          <cell r="BA226">
            <v>0</v>
          </cell>
          <cell r="BB226" t="str">
            <v>濃縮休止</v>
          </cell>
          <cell r="BD226" t="str">
            <v>濃縮休止</v>
          </cell>
          <cell r="BE226">
            <v>1</v>
          </cell>
          <cell r="BG226" t="str">
            <v>1000</v>
          </cell>
        </row>
        <row r="227">
          <cell r="B227" t="str">
            <v>G023070206100200</v>
          </cell>
          <cell r="C227" t="str">
            <v>02.青森県</v>
          </cell>
          <cell r="D227" t="str">
            <v>307</v>
          </cell>
          <cell r="E227" t="str">
            <v>外ヶ浜町</v>
          </cell>
          <cell r="F227" t="str">
            <v>02</v>
          </cell>
          <cell r="G227" t="str">
            <v>特環 単独</v>
          </cell>
          <cell r="H227" t="str">
            <v>特定環境保全公共下水道</v>
          </cell>
          <cell r="I227" t="str">
            <v>単独</v>
          </cell>
          <cell r="J227" t="str">
            <v>002</v>
          </cell>
          <cell r="K227" t="str">
            <v>三厩浄化センター</v>
          </cell>
          <cell r="M227" t="str">
            <v>1</v>
          </cell>
          <cell r="Q227">
            <v>38808</v>
          </cell>
          <cell r="R227" t="str">
            <v>平成</v>
          </cell>
          <cell r="S227">
            <v>18</v>
          </cell>
          <cell r="T227">
            <v>4</v>
          </cell>
          <cell r="AB227">
            <v>8400</v>
          </cell>
          <cell r="AF227">
            <v>15</v>
          </cell>
          <cell r="AJ227" t="str">
            <v>古川川</v>
          </cell>
          <cell r="AQ227" t="str">
            <v/>
          </cell>
          <cell r="AR227" t="str">
            <v>オキシディションディッチ法</v>
          </cell>
          <cell r="AS227" t="str">
            <v>0230702002</v>
          </cell>
          <cell r="AT227" t="str">
            <v/>
          </cell>
          <cell r="AU227" t="str">
            <v>00</v>
          </cell>
          <cell r="AV227" t="str">
            <v>00</v>
          </cell>
          <cell r="AW227">
            <v>0</v>
          </cell>
          <cell r="AX227">
            <v>0</v>
          </cell>
          <cell r="AY227">
            <v>0</v>
          </cell>
          <cell r="AZ227">
            <v>0</v>
          </cell>
          <cell r="BA227">
            <v>0</v>
          </cell>
          <cell r="BD227" t="str">
            <v/>
          </cell>
          <cell r="BE227">
            <v>1</v>
          </cell>
          <cell r="BG227" t="str">
            <v>1000</v>
          </cell>
        </row>
        <row r="228">
          <cell r="B228" t="str">
            <v>G023070106100300</v>
          </cell>
          <cell r="C228" t="str">
            <v>02.青森県</v>
          </cell>
          <cell r="D228" t="str">
            <v>307</v>
          </cell>
          <cell r="E228" t="str">
            <v>外ヶ浜町</v>
          </cell>
          <cell r="F228" t="str">
            <v>01</v>
          </cell>
          <cell r="G228" t="str">
            <v>公共 単独</v>
          </cell>
          <cell r="H228" t="str">
            <v>公共下水道</v>
          </cell>
          <cell r="I228" t="str">
            <v>単独</v>
          </cell>
          <cell r="J228" t="str">
            <v>003</v>
          </cell>
          <cell r="K228" t="str">
            <v>蟹田浄化センター</v>
          </cell>
          <cell r="M228" t="str">
            <v>1</v>
          </cell>
          <cell r="Q228">
            <v>41000</v>
          </cell>
          <cell r="R228" t="str">
            <v>平成</v>
          </cell>
          <cell r="S228">
            <v>24</v>
          </cell>
          <cell r="T228">
            <v>4</v>
          </cell>
          <cell r="AC228" t="str">
            <v>陸奥湾</v>
          </cell>
          <cell r="AF228">
            <v>15</v>
          </cell>
          <cell r="AI228" t="str">
            <v>陸奥湾</v>
          </cell>
          <cell r="AM228">
            <v>23</v>
          </cell>
          <cell r="AQ228" t="str">
            <v>新規</v>
          </cell>
          <cell r="AR228" t="str">
            <v>オキシディションディッチ法</v>
          </cell>
          <cell r="AS228" t="str">
            <v>0230701003</v>
          </cell>
          <cell r="AT228" t="str">
            <v/>
          </cell>
          <cell r="AU228" t="str">
            <v>00</v>
          </cell>
          <cell r="AV228" t="str">
            <v>00</v>
          </cell>
          <cell r="AW228">
            <v>0</v>
          </cell>
          <cell r="AX228">
            <v>0</v>
          </cell>
          <cell r="AY228">
            <v>0</v>
          </cell>
          <cell r="AZ228">
            <v>0</v>
          </cell>
          <cell r="BA228">
            <v>0</v>
          </cell>
          <cell r="BD228" t="str">
            <v/>
          </cell>
          <cell r="BE228">
            <v>1</v>
          </cell>
          <cell r="BG228" t="str">
            <v>1000</v>
          </cell>
        </row>
        <row r="229">
          <cell r="B229" t="str">
            <v>G023210106100100</v>
          </cell>
          <cell r="C229" t="str">
            <v>02.青森県</v>
          </cell>
          <cell r="D229" t="str">
            <v>321</v>
          </cell>
          <cell r="E229" t="str">
            <v>鰺ヶ沢町</v>
          </cell>
          <cell r="F229" t="str">
            <v>01</v>
          </cell>
          <cell r="G229" t="str">
            <v>公共 単独</v>
          </cell>
          <cell r="H229" t="str">
            <v>公共下水道</v>
          </cell>
          <cell r="I229" t="str">
            <v>単独</v>
          </cell>
          <cell r="J229" t="str">
            <v>001</v>
          </cell>
          <cell r="K229" t="str">
            <v>鯵ヶ沢浄化センター</v>
          </cell>
          <cell r="M229" t="str">
            <v>1</v>
          </cell>
          <cell r="N229" t="str">
            <v>1</v>
          </cell>
          <cell r="Q229">
            <v>37347</v>
          </cell>
          <cell r="R229" t="str">
            <v>平成</v>
          </cell>
          <cell r="S229">
            <v>14</v>
          </cell>
          <cell r="T229">
            <v>4</v>
          </cell>
          <cell r="AB229">
            <v>18000</v>
          </cell>
          <cell r="AC229" t="str">
            <v>中村川</v>
          </cell>
          <cell r="AD229" t="str">
            <v>Ａ</v>
          </cell>
          <cell r="AE229" t="str">
            <v>イ</v>
          </cell>
          <cell r="AF229">
            <v>15</v>
          </cell>
          <cell r="AJ229" t="str">
            <v>中村川</v>
          </cell>
          <cell r="AQ229" t="str">
            <v/>
          </cell>
          <cell r="AR229" t="str">
            <v>オキシディションディッチ法</v>
          </cell>
          <cell r="AS229" t="str">
            <v>0232101001</v>
          </cell>
          <cell r="AT229" t="str">
            <v/>
          </cell>
          <cell r="AU229" t="str">
            <v>10</v>
          </cell>
          <cell r="AV229" t="str">
            <v>10</v>
          </cell>
          <cell r="AW229">
            <v>0</v>
          </cell>
          <cell r="AX229">
            <v>0</v>
          </cell>
          <cell r="AY229">
            <v>0</v>
          </cell>
          <cell r="AZ229">
            <v>0</v>
          </cell>
          <cell r="BA229">
            <v>0</v>
          </cell>
          <cell r="BD229" t="str">
            <v/>
          </cell>
          <cell r="BE229">
            <v>1</v>
          </cell>
          <cell r="BG229" t="str">
            <v>1100</v>
          </cell>
        </row>
        <row r="230">
          <cell r="B230" t="str">
            <v>G023230206100100</v>
          </cell>
          <cell r="C230" t="str">
            <v>02.青森県</v>
          </cell>
          <cell r="D230" t="str">
            <v>323</v>
          </cell>
          <cell r="E230" t="str">
            <v>深浦町</v>
          </cell>
          <cell r="F230" t="str">
            <v>02</v>
          </cell>
          <cell r="G230" t="str">
            <v>特環 単独</v>
          </cell>
          <cell r="H230" t="str">
            <v>特定環境保全公共下水道</v>
          </cell>
          <cell r="I230" t="str">
            <v>単独</v>
          </cell>
          <cell r="J230" t="str">
            <v>001</v>
          </cell>
          <cell r="K230" t="str">
            <v>岩崎浄化センター</v>
          </cell>
          <cell r="M230" t="str">
            <v>1</v>
          </cell>
          <cell r="N230" t="str">
            <v>1</v>
          </cell>
          <cell r="Q230">
            <v>37712</v>
          </cell>
          <cell r="R230" t="str">
            <v>平成</v>
          </cell>
          <cell r="S230">
            <v>15</v>
          </cell>
          <cell r="T230">
            <v>4</v>
          </cell>
          <cell r="AB230">
            <v>10173</v>
          </cell>
          <cell r="AC230" t="str">
            <v>設定なし</v>
          </cell>
          <cell r="AF230">
            <v>15</v>
          </cell>
          <cell r="AI230" t="str">
            <v>泥川（日本海）</v>
          </cell>
          <cell r="AQ230" t="str">
            <v/>
          </cell>
          <cell r="AR230" t="str">
            <v>オキシディションディッチ法</v>
          </cell>
          <cell r="AS230" t="str">
            <v>0232302001</v>
          </cell>
          <cell r="AT230" t="str">
            <v/>
          </cell>
          <cell r="AU230" t="str">
            <v>10</v>
          </cell>
          <cell r="AV230" t="str">
            <v>10</v>
          </cell>
          <cell r="AW230">
            <v>0</v>
          </cell>
          <cell r="AX230">
            <v>0</v>
          </cell>
          <cell r="AY230">
            <v>0</v>
          </cell>
          <cell r="AZ230">
            <v>0</v>
          </cell>
          <cell r="BA230">
            <v>0</v>
          </cell>
          <cell r="BD230" t="str">
            <v/>
          </cell>
          <cell r="BE230">
            <v>1</v>
          </cell>
          <cell r="BG230" t="str">
            <v>1100</v>
          </cell>
        </row>
        <row r="231">
          <cell r="B231" t="str">
            <v>G023840106100100</v>
          </cell>
          <cell r="C231" t="str">
            <v>02.青森県</v>
          </cell>
          <cell r="D231" t="str">
            <v>384</v>
          </cell>
          <cell r="E231" t="str">
            <v>鶴田町</v>
          </cell>
          <cell r="F231" t="str">
            <v>01</v>
          </cell>
          <cell r="G231" t="str">
            <v>公共 単独</v>
          </cell>
          <cell r="H231" t="str">
            <v>公共下水道</v>
          </cell>
          <cell r="I231" t="str">
            <v>単独</v>
          </cell>
          <cell r="J231" t="str">
            <v>001</v>
          </cell>
          <cell r="K231" t="str">
            <v>鶴田浄化センター</v>
          </cell>
          <cell r="M231" t="str">
            <v>1</v>
          </cell>
          <cell r="N231" t="str">
            <v>1</v>
          </cell>
          <cell r="Q231">
            <v>36251</v>
          </cell>
          <cell r="R231" t="str">
            <v>平成</v>
          </cell>
          <cell r="S231">
            <v>11</v>
          </cell>
          <cell r="T231">
            <v>4</v>
          </cell>
          <cell r="AB231">
            <v>10100</v>
          </cell>
          <cell r="AF231">
            <v>15</v>
          </cell>
          <cell r="AI231" t="str">
            <v>農業排水路</v>
          </cell>
          <cell r="AL231" t="str">
            <v>野末取水口</v>
          </cell>
          <cell r="AM231">
            <v>0.5</v>
          </cell>
          <cell r="AO231" t="str">
            <v>つがる市</v>
          </cell>
          <cell r="AQ231" t="str">
            <v/>
          </cell>
          <cell r="AR231" t="str">
            <v>オキシディションディッチ法</v>
          </cell>
          <cell r="AS231" t="str">
            <v>0238401001</v>
          </cell>
          <cell r="AT231" t="str">
            <v/>
          </cell>
          <cell r="AU231" t="str">
            <v>10</v>
          </cell>
          <cell r="AV231" t="str">
            <v>10</v>
          </cell>
          <cell r="AW231">
            <v>0</v>
          </cell>
          <cell r="AX231">
            <v>0</v>
          </cell>
          <cell r="AY231">
            <v>0</v>
          </cell>
          <cell r="AZ231">
            <v>0</v>
          </cell>
          <cell r="BA231">
            <v>0</v>
          </cell>
          <cell r="BD231" t="str">
            <v/>
          </cell>
          <cell r="BE231">
            <v>1</v>
          </cell>
          <cell r="BG231" t="str">
            <v>1100</v>
          </cell>
        </row>
        <row r="232">
          <cell r="B232" t="str">
            <v>G024020106100100</v>
          </cell>
          <cell r="C232" t="str">
            <v>02.青森県</v>
          </cell>
          <cell r="D232" t="str">
            <v>402</v>
          </cell>
          <cell r="E232" t="str">
            <v>七戸町</v>
          </cell>
          <cell r="F232" t="str">
            <v>01</v>
          </cell>
          <cell r="G232" t="str">
            <v>公共 単独</v>
          </cell>
          <cell r="H232" t="str">
            <v>公共下水道</v>
          </cell>
          <cell r="I232" t="str">
            <v>単独</v>
          </cell>
          <cell r="J232" t="str">
            <v>001</v>
          </cell>
          <cell r="K232" t="str">
            <v>七戸浄化センター</v>
          </cell>
          <cell r="M232" t="str">
            <v>1</v>
          </cell>
          <cell r="N232" t="str">
            <v>1</v>
          </cell>
          <cell r="Q232">
            <v>37347</v>
          </cell>
          <cell r="R232" t="str">
            <v>平成</v>
          </cell>
          <cell r="S232">
            <v>14</v>
          </cell>
          <cell r="T232">
            <v>4</v>
          </cell>
          <cell r="AB232">
            <v>23700</v>
          </cell>
          <cell r="AC232" t="str">
            <v>高瀬川</v>
          </cell>
          <cell r="AD232" t="str">
            <v>Ａ</v>
          </cell>
          <cell r="AE232" t="str">
            <v>イ</v>
          </cell>
          <cell r="AF232">
            <v>15</v>
          </cell>
          <cell r="AK232" t="str">
            <v>高瀬川</v>
          </cell>
          <cell r="AL232" t="str">
            <v>七戸町上水道用取水口</v>
          </cell>
          <cell r="AM232">
            <v>10.7</v>
          </cell>
          <cell r="AO232" t="str">
            <v>七戸町</v>
          </cell>
          <cell r="AQ232" t="str">
            <v/>
          </cell>
          <cell r="AR232" t="str">
            <v>オキシディションディッチ法</v>
          </cell>
          <cell r="AS232" t="str">
            <v>0240201001</v>
          </cell>
          <cell r="AT232" t="str">
            <v/>
          </cell>
          <cell r="AU232" t="str">
            <v>10</v>
          </cell>
          <cell r="AV232" t="str">
            <v>10</v>
          </cell>
          <cell r="AW232">
            <v>0</v>
          </cell>
          <cell r="AX232">
            <v>0</v>
          </cell>
          <cell r="AY232">
            <v>0</v>
          </cell>
          <cell r="AZ232">
            <v>0</v>
          </cell>
          <cell r="BA232">
            <v>0</v>
          </cell>
          <cell r="BD232" t="str">
            <v/>
          </cell>
          <cell r="BE232">
            <v>1</v>
          </cell>
          <cell r="BG232" t="str">
            <v>1100</v>
          </cell>
        </row>
        <row r="233">
          <cell r="B233" t="str">
            <v>G024020206100200</v>
          </cell>
          <cell r="C233" t="str">
            <v>02.青森県</v>
          </cell>
          <cell r="D233" t="str">
            <v>402</v>
          </cell>
          <cell r="E233" t="str">
            <v>七戸町</v>
          </cell>
          <cell r="F233" t="str">
            <v>02</v>
          </cell>
          <cell r="G233" t="str">
            <v>特環 単独</v>
          </cell>
          <cell r="H233" t="str">
            <v>特定環境保全公共下水道</v>
          </cell>
          <cell r="I233" t="str">
            <v>単独</v>
          </cell>
          <cell r="J233" t="str">
            <v>002</v>
          </cell>
          <cell r="K233" t="str">
            <v>天間林浄化センター</v>
          </cell>
          <cell r="M233" t="str">
            <v>1</v>
          </cell>
          <cell r="N233" t="str">
            <v>1</v>
          </cell>
          <cell r="Q233">
            <v>37347</v>
          </cell>
          <cell r="R233" t="str">
            <v>平成</v>
          </cell>
          <cell r="S233">
            <v>14</v>
          </cell>
          <cell r="T233">
            <v>4</v>
          </cell>
          <cell r="AB233">
            <v>13591</v>
          </cell>
          <cell r="AC233" t="str">
            <v>高瀬川</v>
          </cell>
          <cell r="AD233" t="str">
            <v>Ａ</v>
          </cell>
          <cell r="AE233" t="str">
            <v>イ</v>
          </cell>
          <cell r="AF233">
            <v>10</v>
          </cell>
          <cell r="AK233" t="str">
            <v>高瀬川</v>
          </cell>
          <cell r="AL233" t="str">
            <v>七戸町上水道取水口</v>
          </cell>
          <cell r="AM233">
            <v>19.5</v>
          </cell>
          <cell r="AO233" t="str">
            <v>七戸町</v>
          </cell>
          <cell r="AQ233" t="str">
            <v/>
          </cell>
          <cell r="AR233" t="str">
            <v>オキシディションディッチ法</v>
          </cell>
          <cell r="AS233" t="str">
            <v>0240202002</v>
          </cell>
          <cell r="AT233" t="str">
            <v/>
          </cell>
          <cell r="AU233" t="str">
            <v>10</v>
          </cell>
          <cell r="AV233" t="str">
            <v>10</v>
          </cell>
          <cell r="AW233">
            <v>0</v>
          </cell>
          <cell r="AX233">
            <v>0</v>
          </cell>
          <cell r="AY233">
            <v>0</v>
          </cell>
          <cell r="AZ233">
            <v>0</v>
          </cell>
          <cell r="BA233">
            <v>0</v>
          </cell>
          <cell r="BD233" t="str">
            <v/>
          </cell>
          <cell r="BE233">
            <v>1</v>
          </cell>
          <cell r="BG233" t="str">
            <v>1100</v>
          </cell>
        </row>
        <row r="234">
          <cell r="B234" t="str">
            <v>G024080106100100</v>
          </cell>
          <cell r="C234" t="str">
            <v>02.青森県</v>
          </cell>
          <cell r="D234" t="str">
            <v>408</v>
          </cell>
          <cell r="E234" t="str">
            <v>東北町</v>
          </cell>
          <cell r="F234" t="str">
            <v>01</v>
          </cell>
          <cell r="G234" t="str">
            <v>公共 単独</v>
          </cell>
          <cell r="H234" t="str">
            <v>公共下水道</v>
          </cell>
          <cell r="I234" t="str">
            <v>単独</v>
          </cell>
          <cell r="J234" t="str">
            <v>001</v>
          </cell>
          <cell r="K234" t="str">
            <v>東北町浄化センター</v>
          </cell>
          <cell r="M234" t="str">
            <v>1</v>
          </cell>
          <cell r="N234" t="str">
            <v>1</v>
          </cell>
          <cell r="Q234">
            <v>37316</v>
          </cell>
          <cell r="R234" t="str">
            <v>平成</v>
          </cell>
          <cell r="S234">
            <v>14</v>
          </cell>
          <cell r="T234">
            <v>3</v>
          </cell>
          <cell r="AB234">
            <v>11800</v>
          </cell>
          <cell r="AC234" t="str">
            <v>高瀬川</v>
          </cell>
          <cell r="AD234" t="str">
            <v>Ａ</v>
          </cell>
          <cell r="AE234" t="str">
            <v>イ</v>
          </cell>
          <cell r="AK234" t="str">
            <v>赤川</v>
          </cell>
          <cell r="AQ234" t="str">
            <v/>
          </cell>
          <cell r="AR234" t="str">
            <v>オキシディションディッチ法</v>
          </cell>
          <cell r="AS234" t="str">
            <v>0240801001</v>
          </cell>
          <cell r="AT234" t="str">
            <v/>
          </cell>
          <cell r="AU234" t="str">
            <v>10</v>
          </cell>
          <cell r="AV234" t="str">
            <v>10</v>
          </cell>
          <cell r="AW234">
            <v>0</v>
          </cell>
          <cell r="AX234">
            <v>0</v>
          </cell>
          <cell r="AY234">
            <v>0</v>
          </cell>
          <cell r="AZ234">
            <v>0</v>
          </cell>
          <cell r="BA234">
            <v>0</v>
          </cell>
          <cell r="BD234" t="str">
            <v/>
          </cell>
          <cell r="BE234">
            <v>1</v>
          </cell>
          <cell r="BG234" t="str">
            <v>1100</v>
          </cell>
        </row>
        <row r="235">
          <cell r="B235" t="str">
            <v>G024080106100200</v>
          </cell>
          <cell r="C235" t="str">
            <v>02.青森県</v>
          </cell>
          <cell r="D235" t="str">
            <v>408</v>
          </cell>
          <cell r="E235" t="str">
            <v>東北町</v>
          </cell>
          <cell r="F235" t="str">
            <v>01</v>
          </cell>
          <cell r="G235" t="str">
            <v>公共 単独</v>
          </cell>
          <cell r="H235" t="str">
            <v>公共下水道</v>
          </cell>
          <cell r="I235" t="str">
            <v>単独</v>
          </cell>
          <cell r="J235" t="str">
            <v>002</v>
          </cell>
          <cell r="K235" t="str">
            <v>上北中央環境センター</v>
          </cell>
          <cell r="M235" t="str">
            <v>1</v>
          </cell>
          <cell r="N235" t="str">
            <v>1</v>
          </cell>
          <cell r="Q235">
            <v>37347</v>
          </cell>
          <cell r="R235" t="str">
            <v>平成</v>
          </cell>
          <cell r="S235">
            <v>14</v>
          </cell>
          <cell r="T235">
            <v>4</v>
          </cell>
          <cell r="AB235">
            <v>21400</v>
          </cell>
          <cell r="AC235" t="str">
            <v>高瀬川</v>
          </cell>
          <cell r="AD235" t="str">
            <v>Ａ</v>
          </cell>
          <cell r="AE235" t="str">
            <v>イ</v>
          </cell>
          <cell r="AK235" t="str">
            <v>七戸川</v>
          </cell>
          <cell r="AQ235" t="str">
            <v/>
          </cell>
          <cell r="AR235" t="str">
            <v>オキシディションディッチ法</v>
          </cell>
          <cell r="AS235" t="str">
            <v>0240801002</v>
          </cell>
          <cell r="AT235" t="str">
            <v/>
          </cell>
          <cell r="AU235" t="str">
            <v>10</v>
          </cell>
          <cell r="AV235" t="str">
            <v>10</v>
          </cell>
          <cell r="AW235">
            <v>0</v>
          </cell>
          <cell r="AX235">
            <v>0</v>
          </cell>
          <cell r="AY235">
            <v>0</v>
          </cell>
          <cell r="AZ235">
            <v>0</v>
          </cell>
          <cell r="BA235">
            <v>0</v>
          </cell>
          <cell r="BD235" t="str">
            <v/>
          </cell>
          <cell r="BE235">
            <v>1</v>
          </cell>
          <cell r="BG235" t="str">
            <v>1100</v>
          </cell>
        </row>
        <row r="236">
          <cell r="B236" t="str">
            <v>G024110106100100</v>
          </cell>
          <cell r="C236" t="str">
            <v>02.青森県</v>
          </cell>
          <cell r="D236" t="str">
            <v>411</v>
          </cell>
          <cell r="E236" t="str">
            <v>六ヶ所村</v>
          </cell>
          <cell r="F236" t="str">
            <v>01</v>
          </cell>
          <cell r="G236" t="str">
            <v>公共 単独</v>
          </cell>
          <cell r="H236" t="str">
            <v>公共下水道</v>
          </cell>
          <cell r="I236" t="str">
            <v>単独</v>
          </cell>
          <cell r="J236" t="str">
            <v>001</v>
          </cell>
          <cell r="K236" t="str">
            <v>六ヶ所村中部浄化センター</v>
          </cell>
          <cell r="M236" t="str">
            <v>1</v>
          </cell>
          <cell r="N236" t="str">
            <v>1</v>
          </cell>
          <cell r="Q236">
            <v>37347</v>
          </cell>
          <cell r="R236" t="str">
            <v>平成</v>
          </cell>
          <cell r="S236">
            <v>14</v>
          </cell>
          <cell r="T236">
            <v>4</v>
          </cell>
          <cell r="AB236">
            <v>34467</v>
          </cell>
          <cell r="AC236" t="str">
            <v>東通り海域</v>
          </cell>
          <cell r="AD236" t="str">
            <v>Ａ</v>
          </cell>
          <cell r="AE236" t="str">
            <v>イ</v>
          </cell>
          <cell r="AF236">
            <v>15</v>
          </cell>
          <cell r="AI236" t="str">
            <v>老部川</v>
          </cell>
          <cell r="AK236" t="str">
            <v>東通り海域</v>
          </cell>
          <cell r="AQ236" t="str">
            <v/>
          </cell>
          <cell r="AR236" t="str">
            <v>オキシディションディッチ法</v>
          </cell>
          <cell r="AS236" t="str">
            <v>0241101001</v>
          </cell>
          <cell r="AT236" t="str">
            <v/>
          </cell>
          <cell r="AU236" t="str">
            <v>10</v>
          </cell>
          <cell r="AV236" t="str">
            <v>10</v>
          </cell>
          <cell r="AW236">
            <v>0</v>
          </cell>
          <cell r="AX236">
            <v>0</v>
          </cell>
          <cell r="AY236">
            <v>0</v>
          </cell>
          <cell r="AZ236">
            <v>0</v>
          </cell>
          <cell r="BA236">
            <v>0</v>
          </cell>
          <cell r="BD236" t="str">
            <v/>
          </cell>
          <cell r="BE236">
            <v>1</v>
          </cell>
          <cell r="BG236" t="str">
            <v>1100</v>
          </cell>
        </row>
        <row r="237">
          <cell r="B237" t="str">
            <v>G024110106100200</v>
          </cell>
          <cell r="C237" t="str">
            <v>02.青森県</v>
          </cell>
          <cell r="D237" t="str">
            <v>411</v>
          </cell>
          <cell r="E237" t="str">
            <v>六ヶ所村</v>
          </cell>
          <cell r="F237" t="str">
            <v>01</v>
          </cell>
          <cell r="G237" t="str">
            <v>公共 単独</v>
          </cell>
          <cell r="H237" t="str">
            <v>公共下水道</v>
          </cell>
          <cell r="I237" t="str">
            <v>単独</v>
          </cell>
          <cell r="J237" t="str">
            <v>002</v>
          </cell>
          <cell r="K237" t="str">
            <v>六ヶ所村南部浄化センター</v>
          </cell>
          <cell r="M237" t="str">
            <v>1</v>
          </cell>
          <cell r="N237" t="str">
            <v>1</v>
          </cell>
          <cell r="Q237">
            <v>39904</v>
          </cell>
          <cell r="R237" t="str">
            <v>平成</v>
          </cell>
          <cell r="S237">
            <v>21</v>
          </cell>
          <cell r="T237">
            <v>4</v>
          </cell>
          <cell r="AB237">
            <v>16274</v>
          </cell>
          <cell r="AC237" t="str">
            <v>小川原湖</v>
          </cell>
          <cell r="AD237" t="str">
            <v>Ａ</v>
          </cell>
          <cell r="AE237" t="str">
            <v>ロ</v>
          </cell>
          <cell r="AF237">
            <v>15</v>
          </cell>
          <cell r="AK237" t="str">
            <v>高瀬川</v>
          </cell>
          <cell r="AQ237" t="str">
            <v/>
          </cell>
          <cell r="AR237" t="str">
            <v>オキシディションディッチ法</v>
          </cell>
          <cell r="AS237" t="str">
            <v>0241101002</v>
          </cell>
          <cell r="AT237" t="str">
            <v/>
          </cell>
          <cell r="AU237" t="str">
            <v>10</v>
          </cell>
          <cell r="AV237" t="str">
            <v>10</v>
          </cell>
          <cell r="AW237">
            <v>0</v>
          </cell>
          <cell r="AX237">
            <v>0</v>
          </cell>
          <cell r="AY237">
            <v>0</v>
          </cell>
          <cell r="AZ237">
            <v>0</v>
          </cell>
          <cell r="BA237">
            <v>0</v>
          </cell>
          <cell r="BD237" t="str">
            <v/>
          </cell>
          <cell r="BE237">
            <v>1</v>
          </cell>
          <cell r="BG237" t="str">
            <v>1100</v>
          </cell>
        </row>
        <row r="238">
          <cell r="B238" t="str">
            <v>G024110206100300</v>
          </cell>
          <cell r="C238" t="str">
            <v>02.青森県</v>
          </cell>
          <cell r="D238" t="str">
            <v>411</v>
          </cell>
          <cell r="E238" t="str">
            <v>六ヶ所村</v>
          </cell>
          <cell r="F238" t="str">
            <v>02</v>
          </cell>
          <cell r="G238" t="str">
            <v>特環 単独</v>
          </cell>
          <cell r="H238" t="str">
            <v>特定環境保全公共下水道</v>
          </cell>
          <cell r="I238" t="str">
            <v>単独</v>
          </cell>
          <cell r="J238" t="str">
            <v>003</v>
          </cell>
          <cell r="K238" t="str">
            <v>六ヶ所村北部浄化センター</v>
          </cell>
          <cell r="M238" t="str">
            <v>1</v>
          </cell>
          <cell r="N238" t="str">
            <v>1</v>
          </cell>
          <cell r="Q238">
            <v>37347</v>
          </cell>
          <cell r="R238" t="str">
            <v>平成</v>
          </cell>
          <cell r="S238">
            <v>14</v>
          </cell>
          <cell r="T238">
            <v>4</v>
          </cell>
          <cell r="AB238">
            <v>13942</v>
          </cell>
          <cell r="AC238" t="str">
            <v>東通り海域</v>
          </cell>
          <cell r="AD238" t="str">
            <v>Ａ</v>
          </cell>
          <cell r="AE238" t="str">
            <v>イ</v>
          </cell>
          <cell r="AF238">
            <v>15</v>
          </cell>
          <cell r="AI238" t="str">
            <v>馬門川</v>
          </cell>
          <cell r="AK238" t="str">
            <v>東通り海域</v>
          </cell>
          <cell r="AQ238" t="str">
            <v/>
          </cell>
          <cell r="AR238" t="str">
            <v>オキシディションディッチ法</v>
          </cell>
          <cell r="AS238" t="str">
            <v>0241102003</v>
          </cell>
          <cell r="AT238" t="str">
            <v/>
          </cell>
          <cell r="AU238" t="str">
            <v>10</v>
          </cell>
          <cell r="AV238" t="str">
            <v>10</v>
          </cell>
          <cell r="AW238">
            <v>0</v>
          </cell>
          <cell r="AX238">
            <v>0</v>
          </cell>
          <cell r="AY238">
            <v>0</v>
          </cell>
          <cell r="AZ238">
            <v>0</v>
          </cell>
          <cell r="BA238">
            <v>0</v>
          </cell>
          <cell r="BD238" t="str">
            <v/>
          </cell>
          <cell r="BE238">
            <v>1</v>
          </cell>
          <cell r="BG238" t="str">
            <v>1100</v>
          </cell>
        </row>
        <row r="239">
          <cell r="B239" t="str">
            <v>G024230206100100</v>
          </cell>
          <cell r="C239" t="str">
            <v>02.青森県</v>
          </cell>
          <cell r="D239" t="str">
            <v>423</v>
          </cell>
          <cell r="E239" t="str">
            <v>大間町</v>
          </cell>
          <cell r="F239" t="str">
            <v>02</v>
          </cell>
          <cell r="G239" t="str">
            <v>特環 単独</v>
          </cell>
          <cell r="H239" t="str">
            <v>特定環境保全公共下水道</v>
          </cell>
          <cell r="I239" t="str">
            <v>単独</v>
          </cell>
          <cell r="J239" t="str">
            <v>001</v>
          </cell>
          <cell r="K239" t="str">
            <v>大間町浄化センター</v>
          </cell>
          <cell r="M239" t="str">
            <v>1</v>
          </cell>
          <cell r="N239" t="str">
            <v>1</v>
          </cell>
          <cell r="Q239">
            <v>38078</v>
          </cell>
          <cell r="R239" t="str">
            <v>平成</v>
          </cell>
          <cell r="S239">
            <v>16</v>
          </cell>
          <cell r="T239">
            <v>4</v>
          </cell>
          <cell r="AB239">
            <v>10000</v>
          </cell>
          <cell r="AF239">
            <v>15</v>
          </cell>
          <cell r="AI239" t="str">
            <v>大間川</v>
          </cell>
          <cell r="AQ239" t="str">
            <v/>
          </cell>
          <cell r="AR239" t="str">
            <v>オキシディションディッチ法</v>
          </cell>
          <cell r="AS239" t="str">
            <v>0242302001</v>
          </cell>
          <cell r="AT239" t="str">
            <v/>
          </cell>
          <cell r="AU239" t="str">
            <v>10</v>
          </cell>
          <cell r="AV239" t="str">
            <v>10</v>
          </cell>
          <cell r="AW239">
            <v>0</v>
          </cell>
          <cell r="AX239">
            <v>0</v>
          </cell>
          <cell r="AY239">
            <v>0</v>
          </cell>
          <cell r="AZ239">
            <v>0</v>
          </cell>
          <cell r="BA239">
            <v>0</v>
          </cell>
          <cell r="BD239" t="str">
            <v/>
          </cell>
          <cell r="BE239">
            <v>1</v>
          </cell>
          <cell r="BG239" t="str">
            <v>1100</v>
          </cell>
        </row>
        <row r="240">
          <cell r="B240" t="str">
            <v>G024240206100100</v>
          </cell>
          <cell r="C240" t="str">
            <v>02.青森県</v>
          </cell>
          <cell r="D240" t="str">
            <v>424</v>
          </cell>
          <cell r="E240" t="str">
            <v>東通村</v>
          </cell>
          <cell r="F240" t="str">
            <v>02</v>
          </cell>
          <cell r="G240" t="str">
            <v>特環 単独</v>
          </cell>
          <cell r="H240" t="str">
            <v>特定環境保全公共下水道</v>
          </cell>
          <cell r="I240" t="str">
            <v>単独</v>
          </cell>
          <cell r="J240" t="str">
            <v>001</v>
          </cell>
          <cell r="K240" t="str">
            <v>中地区浄化センター</v>
          </cell>
          <cell r="M240" t="str">
            <v>1</v>
          </cell>
          <cell r="N240" t="str">
            <v>1</v>
          </cell>
          <cell r="Q240">
            <v>37530</v>
          </cell>
          <cell r="R240" t="str">
            <v>平成</v>
          </cell>
          <cell r="S240">
            <v>14</v>
          </cell>
          <cell r="T240">
            <v>10</v>
          </cell>
          <cell r="AB240">
            <v>7123</v>
          </cell>
          <cell r="AC240" t="str">
            <v>田名部川上流</v>
          </cell>
          <cell r="AD240" t="str">
            <v>Ａ</v>
          </cell>
          <cell r="AE240" t="str">
            <v>イ</v>
          </cell>
          <cell r="AF240">
            <v>15</v>
          </cell>
          <cell r="AJ240" t="str">
            <v>田名部川</v>
          </cell>
          <cell r="AQ240" t="str">
            <v/>
          </cell>
          <cell r="AR240" t="str">
            <v>オキシディションディッチ法</v>
          </cell>
          <cell r="AS240" t="str">
            <v>0242402001</v>
          </cell>
          <cell r="AT240" t="str">
            <v/>
          </cell>
          <cell r="AU240" t="str">
            <v>10</v>
          </cell>
          <cell r="AV240" t="str">
            <v>10</v>
          </cell>
          <cell r="AW240">
            <v>0</v>
          </cell>
          <cell r="AX240">
            <v>0</v>
          </cell>
          <cell r="AY240">
            <v>0</v>
          </cell>
          <cell r="AZ240">
            <v>0</v>
          </cell>
          <cell r="BA240">
            <v>0</v>
          </cell>
          <cell r="BD240" t="str">
            <v/>
          </cell>
          <cell r="BE240">
            <v>1</v>
          </cell>
          <cell r="BG240" t="str">
            <v>1100</v>
          </cell>
        </row>
        <row r="241">
          <cell r="B241" t="str">
            <v>G024260206100100</v>
          </cell>
          <cell r="C241" t="str">
            <v>02.青森県</v>
          </cell>
          <cell r="D241" t="str">
            <v>426</v>
          </cell>
          <cell r="E241" t="str">
            <v>佐井村</v>
          </cell>
          <cell r="F241" t="str">
            <v>02</v>
          </cell>
          <cell r="G241" t="str">
            <v>特環 単独</v>
          </cell>
          <cell r="H241" t="str">
            <v>特定環境保全公共下水道</v>
          </cell>
          <cell r="I241" t="str">
            <v>単独</v>
          </cell>
          <cell r="J241" t="str">
            <v>001</v>
          </cell>
          <cell r="K241" t="str">
            <v>佐井村浄化センター</v>
          </cell>
          <cell r="M241" t="str">
            <v>1</v>
          </cell>
          <cell r="N241" t="str">
            <v>1</v>
          </cell>
          <cell r="Q241">
            <v>39173</v>
          </cell>
          <cell r="R241" t="str">
            <v>平成</v>
          </cell>
          <cell r="S241">
            <v>19</v>
          </cell>
          <cell r="T241">
            <v>4</v>
          </cell>
          <cell r="AB241">
            <v>6750</v>
          </cell>
          <cell r="AC241" t="str">
            <v>設定なし</v>
          </cell>
          <cell r="AF241">
            <v>15</v>
          </cell>
          <cell r="AG241">
            <v>20</v>
          </cell>
          <cell r="AH241">
            <v>3</v>
          </cell>
          <cell r="AJ241" t="str">
            <v>大佐井川</v>
          </cell>
          <cell r="AQ241" t="str">
            <v/>
          </cell>
          <cell r="AR241" t="str">
            <v>オキシディションディッチ法</v>
          </cell>
          <cell r="AS241" t="str">
            <v>0242602001</v>
          </cell>
          <cell r="AT241" t="str">
            <v/>
          </cell>
          <cell r="AU241" t="str">
            <v>10</v>
          </cell>
          <cell r="AV241" t="str">
            <v>10</v>
          </cell>
          <cell r="AW241">
            <v>0</v>
          </cell>
          <cell r="AX241">
            <v>0</v>
          </cell>
          <cell r="AY241">
            <v>0</v>
          </cell>
          <cell r="AZ241">
            <v>0</v>
          </cell>
          <cell r="BA241">
            <v>0</v>
          </cell>
          <cell r="BD241" t="str">
            <v/>
          </cell>
          <cell r="BE241">
            <v>1</v>
          </cell>
          <cell r="BG241" t="str">
            <v>1100</v>
          </cell>
        </row>
        <row r="242">
          <cell r="B242" t="str">
            <v>G024410106100100</v>
          </cell>
          <cell r="C242" t="str">
            <v>02.青森県</v>
          </cell>
          <cell r="D242" t="str">
            <v>441</v>
          </cell>
          <cell r="E242" t="str">
            <v>三戸町</v>
          </cell>
          <cell r="F242" t="str">
            <v>01</v>
          </cell>
          <cell r="G242" t="str">
            <v>公共 単独</v>
          </cell>
          <cell r="H242" t="str">
            <v>公共下水道</v>
          </cell>
          <cell r="I242" t="str">
            <v>単独</v>
          </cell>
          <cell r="J242" t="str">
            <v>001</v>
          </cell>
          <cell r="K242" t="str">
            <v>三戸浄化センター</v>
          </cell>
          <cell r="M242" t="str">
            <v>1</v>
          </cell>
          <cell r="N242" t="str">
            <v>1</v>
          </cell>
          <cell r="Q242">
            <v>40269</v>
          </cell>
          <cell r="R242" t="str">
            <v>平成</v>
          </cell>
          <cell r="S242">
            <v>22</v>
          </cell>
          <cell r="T242">
            <v>4</v>
          </cell>
          <cell r="AB242">
            <v>14173</v>
          </cell>
          <cell r="AC242" t="str">
            <v>新井田川河口水域</v>
          </cell>
          <cell r="AD242" t="str">
            <v>Ａ</v>
          </cell>
          <cell r="AE242" t="str">
            <v>イ</v>
          </cell>
          <cell r="AF242">
            <v>15</v>
          </cell>
          <cell r="AK242" t="str">
            <v>馬淵川</v>
          </cell>
          <cell r="AL242" t="str">
            <v>川中島取水ポンプ場</v>
          </cell>
          <cell r="AN242">
            <v>15</v>
          </cell>
          <cell r="AO242" t="str">
            <v>八戸圏域水道企業団</v>
          </cell>
          <cell r="AQ242" t="str">
            <v/>
          </cell>
          <cell r="AR242" t="str">
            <v>オキシディションディッチ法</v>
          </cell>
          <cell r="AS242" t="str">
            <v>0244101001</v>
          </cell>
          <cell r="AT242" t="str">
            <v/>
          </cell>
          <cell r="AU242" t="str">
            <v>10</v>
          </cell>
          <cell r="AV242" t="str">
            <v>10</v>
          </cell>
          <cell r="AW242">
            <v>0</v>
          </cell>
          <cell r="AX242">
            <v>0</v>
          </cell>
          <cell r="AY242">
            <v>0</v>
          </cell>
          <cell r="AZ242">
            <v>0</v>
          </cell>
          <cell r="BA242">
            <v>0</v>
          </cell>
          <cell r="BD242" t="str">
            <v/>
          </cell>
          <cell r="BE242">
            <v>1</v>
          </cell>
          <cell r="BG242" t="str">
            <v>1100</v>
          </cell>
        </row>
        <row r="243">
          <cell r="B243" t="str">
            <v>G024450106100100</v>
          </cell>
          <cell r="C243" t="str">
            <v>02.青森県</v>
          </cell>
          <cell r="D243" t="str">
            <v>445</v>
          </cell>
          <cell r="E243" t="str">
            <v>南部町</v>
          </cell>
          <cell r="F243" t="str">
            <v>01</v>
          </cell>
          <cell r="G243" t="str">
            <v>公共 単独</v>
          </cell>
          <cell r="H243" t="str">
            <v>公共下水道</v>
          </cell>
          <cell r="I243" t="str">
            <v>単独</v>
          </cell>
          <cell r="J243" t="str">
            <v>001</v>
          </cell>
          <cell r="K243" t="str">
            <v>南部町浄化センター</v>
          </cell>
          <cell r="M243" t="str">
            <v>1</v>
          </cell>
          <cell r="Q243">
            <v>40634</v>
          </cell>
          <cell r="R243" t="str">
            <v>平成</v>
          </cell>
          <cell r="S243">
            <v>23</v>
          </cell>
          <cell r="T243">
            <v>4</v>
          </cell>
          <cell r="AB243">
            <v>5346</v>
          </cell>
          <cell r="AC243" t="str">
            <v>馬淵川上流</v>
          </cell>
          <cell r="AD243" t="str">
            <v>Ａ</v>
          </cell>
          <cell r="AE243" t="str">
            <v>イ</v>
          </cell>
          <cell r="AF243">
            <v>15</v>
          </cell>
          <cell r="AK243" t="str">
            <v>馬淵川</v>
          </cell>
          <cell r="AL243" t="str">
            <v>川中島取水口</v>
          </cell>
          <cell r="AN243">
            <v>18</v>
          </cell>
          <cell r="AO243" t="str">
            <v>八戸圏域水道企業団</v>
          </cell>
          <cell r="AQ243" t="str">
            <v/>
          </cell>
          <cell r="AR243" t="str">
            <v>嫌気好気ろ床法</v>
          </cell>
          <cell r="AS243" t="str">
            <v>0244501001</v>
          </cell>
          <cell r="AT243" t="str">
            <v/>
          </cell>
          <cell r="AU243" t="str">
            <v>00</v>
          </cell>
          <cell r="AV243" t="str">
            <v>00</v>
          </cell>
          <cell r="AW243">
            <v>0</v>
          </cell>
          <cell r="AX243">
            <v>0</v>
          </cell>
          <cell r="AY243">
            <v>0</v>
          </cell>
          <cell r="AZ243">
            <v>0</v>
          </cell>
          <cell r="BA243">
            <v>0</v>
          </cell>
          <cell r="BD243" t="str">
            <v/>
          </cell>
          <cell r="BE243">
            <v>1</v>
          </cell>
          <cell r="BG243" t="str">
            <v>1000</v>
          </cell>
        </row>
        <row r="244">
          <cell r="B244" t="str">
            <v>G024460106100100</v>
          </cell>
          <cell r="C244" t="str">
            <v>02.青森県</v>
          </cell>
          <cell r="D244" t="str">
            <v>446</v>
          </cell>
          <cell r="E244" t="str">
            <v>階上町</v>
          </cell>
          <cell r="F244" t="str">
            <v>01</v>
          </cell>
          <cell r="G244" t="str">
            <v>公共 単独</v>
          </cell>
          <cell r="H244" t="str">
            <v>公共下水道</v>
          </cell>
          <cell r="I244" t="str">
            <v>単独</v>
          </cell>
          <cell r="J244" t="str">
            <v>001</v>
          </cell>
          <cell r="K244" t="str">
            <v>茨島浄化センター</v>
          </cell>
          <cell r="M244" t="str">
            <v>1</v>
          </cell>
          <cell r="N244" t="str">
            <v>1</v>
          </cell>
          <cell r="Q244">
            <v>39904</v>
          </cell>
          <cell r="R244" t="str">
            <v>平成</v>
          </cell>
          <cell r="S244">
            <v>21</v>
          </cell>
          <cell r="T244">
            <v>4</v>
          </cell>
          <cell r="AB244">
            <v>28282</v>
          </cell>
          <cell r="AF244">
            <v>15</v>
          </cell>
          <cell r="AI244" t="str">
            <v>野沢川</v>
          </cell>
          <cell r="AQ244" t="str">
            <v/>
          </cell>
          <cell r="AR244" t="str">
            <v>オキシディションディッチ法</v>
          </cell>
          <cell r="AS244" t="str">
            <v>0244601001</v>
          </cell>
          <cell r="AT244" t="str">
            <v/>
          </cell>
          <cell r="AU244" t="str">
            <v>10</v>
          </cell>
          <cell r="AV244" t="str">
            <v>10</v>
          </cell>
          <cell r="AW244">
            <v>0</v>
          </cell>
          <cell r="AX244">
            <v>0</v>
          </cell>
          <cell r="AY244">
            <v>0</v>
          </cell>
          <cell r="AZ244">
            <v>0</v>
          </cell>
          <cell r="BA244">
            <v>0</v>
          </cell>
          <cell r="BD244" t="str">
            <v/>
          </cell>
          <cell r="BE244">
            <v>1</v>
          </cell>
          <cell r="BG244" t="str">
            <v>1100</v>
          </cell>
        </row>
        <row r="245">
          <cell r="B245" t="str">
            <v>G024500206100100</v>
          </cell>
          <cell r="C245" t="str">
            <v>02.青森県</v>
          </cell>
          <cell r="D245" t="str">
            <v>450</v>
          </cell>
          <cell r="E245" t="str">
            <v>新郷村</v>
          </cell>
          <cell r="F245" t="str">
            <v>02</v>
          </cell>
          <cell r="G245" t="str">
            <v>特環 単独</v>
          </cell>
          <cell r="H245" t="str">
            <v>特定環境保全公共下水道</v>
          </cell>
          <cell r="I245" t="str">
            <v>単独</v>
          </cell>
          <cell r="J245" t="str">
            <v>001</v>
          </cell>
          <cell r="K245" t="str">
            <v>戸来浄化センター</v>
          </cell>
          <cell r="M245" t="str">
            <v>1</v>
          </cell>
          <cell r="N245" t="str">
            <v>1</v>
          </cell>
          <cell r="Q245">
            <v>35886</v>
          </cell>
          <cell r="R245" t="str">
            <v>平成</v>
          </cell>
          <cell r="S245">
            <v>10</v>
          </cell>
          <cell r="T245">
            <v>4</v>
          </cell>
          <cell r="AB245">
            <v>5655</v>
          </cell>
          <cell r="AC245" t="str">
            <v>五戸川</v>
          </cell>
          <cell r="AD245" t="str">
            <v>Ａ</v>
          </cell>
          <cell r="AE245" t="str">
            <v>イ</v>
          </cell>
          <cell r="AF245">
            <v>15</v>
          </cell>
          <cell r="AJ245" t="str">
            <v>五戸川</v>
          </cell>
          <cell r="AQ245" t="str">
            <v/>
          </cell>
          <cell r="AR245" t="str">
            <v>オキシディションディッチ法</v>
          </cell>
          <cell r="AS245" t="str">
            <v>0245002001</v>
          </cell>
          <cell r="AT245" t="str">
            <v/>
          </cell>
          <cell r="AU245" t="str">
            <v>10</v>
          </cell>
          <cell r="AV245" t="str">
            <v>10</v>
          </cell>
          <cell r="AW245">
            <v>0</v>
          </cell>
          <cell r="AX245">
            <v>0</v>
          </cell>
          <cell r="AY245">
            <v>0</v>
          </cell>
          <cell r="AZ245">
            <v>0</v>
          </cell>
          <cell r="BA245">
            <v>0</v>
          </cell>
          <cell r="BD245" t="str">
            <v/>
          </cell>
          <cell r="BE245">
            <v>1</v>
          </cell>
          <cell r="BG245" t="str">
            <v>1100</v>
          </cell>
        </row>
        <row r="246">
          <cell r="B246" t="str">
            <v>G030018106100100</v>
          </cell>
          <cell r="C246" t="str">
            <v>03.岩手県</v>
          </cell>
          <cell r="D246" t="str">
            <v>001</v>
          </cell>
          <cell r="E246" t="str">
            <v>北上川上流流域</v>
          </cell>
          <cell r="F246" t="str">
            <v>81</v>
          </cell>
          <cell r="G246" t="str">
            <v>流域</v>
          </cell>
          <cell r="H246" t="str">
            <v>流域下水道</v>
          </cell>
          <cell r="I246" t="str">
            <v/>
          </cell>
          <cell r="J246" t="str">
            <v>001</v>
          </cell>
          <cell r="K246" t="str">
            <v>都南浄化センター</v>
          </cell>
          <cell r="M246" t="str">
            <v>1</v>
          </cell>
          <cell r="N246" t="str">
            <v>1</v>
          </cell>
          <cell r="O246" t="str">
            <v>1</v>
          </cell>
          <cell r="Q246">
            <v>29312</v>
          </cell>
          <cell r="R246" t="str">
            <v>昭和</v>
          </cell>
          <cell r="S246">
            <v>55</v>
          </cell>
          <cell r="T246">
            <v>4</v>
          </cell>
          <cell r="AB246">
            <v>16905</v>
          </cell>
          <cell r="AC246" t="str">
            <v>北上川(4)</v>
          </cell>
          <cell r="AD246" t="str">
            <v>Ａ</v>
          </cell>
          <cell r="AE246" t="str">
            <v>イ</v>
          </cell>
          <cell r="AI246" t="str">
            <v>見前川</v>
          </cell>
          <cell r="AK246" t="str">
            <v>北上川</v>
          </cell>
          <cell r="AL246" t="str">
            <v xml:space="preserve"> 古舘揚水場</v>
          </cell>
          <cell r="AN246">
            <v>15</v>
          </cell>
          <cell r="AO246" t="str">
            <v>紫波町</v>
          </cell>
          <cell r="AQ246" t="str">
            <v/>
          </cell>
          <cell r="AR246" t="str">
            <v>標準活性汚泥法</v>
          </cell>
          <cell r="AS246" t="str">
            <v>0300181001</v>
          </cell>
          <cell r="AT246" t="str">
            <v/>
          </cell>
          <cell r="AU246" t="str">
            <v>11</v>
          </cell>
          <cell r="AV246" t="str">
            <v>11</v>
          </cell>
          <cell r="AW246">
            <v>0</v>
          </cell>
          <cell r="AX246">
            <v>0</v>
          </cell>
          <cell r="AY246">
            <v>0</v>
          </cell>
          <cell r="AZ246">
            <v>0</v>
          </cell>
          <cell r="BA246">
            <v>0</v>
          </cell>
          <cell r="BD246" t="str">
            <v/>
          </cell>
          <cell r="BE246">
            <v>1</v>
          </cell>
          <cell r="BG246" t="str">
            <v>1110</v>
          </cell>
        </row>
        <row r="247">
          <cell r="B247" t="str">
            <v>G030018106100200</v>
          </cell>
          <cell r="C247" t="str">
            <v>03.岩手県</v>
          </cell>
          <cell r="D247" t="str">
            <v>001</v>
          </cell>
          <cell r="E247" t="str">
            <v>北上川上流流域</v>
          </cell>
          <cell r="F247" t="str">
            <v>81</v>
          </cell>
          <cell r="G247" t="str">
            <v>流域</v>
          </cell>
          <cell r="H247" t="str">
            <v>流域下水道</v>
          </cell>
          <cell r="I247" t="str">
            <v/>
          </cell>
          <cell r="J247" t="str">
            <v>002</v>
          </cell>
          <cell r="K247" t="str">
            <v>北上浄化センター</v>
          </cell>
          <cell r="M247" t="str">
            <v>1</v>
          </cell>
          <cell r="N247" t="str">
            <v>1</v>
          </cell>
          <cell r="O247" t="str">
            <v>1</v>
          </cell>
          <cell r="Q247">
            <v>31868</v>
          </cell>
          <cell r="R247" t="str">
            <v>昭和</v>
          </cell>
          <cell r="S247">
            <v>62</v>
          </cell>
          <cell r="T247">
            <v>4</v>
          </cell>
          <cell r="AB247">
            <v>115450</v>
          </cell>
          <cell r="AC247" t="str">
            <v>北上川(4)</v>
          </cell>
          <cell r="AD247" t="str">
            <v>Ａ</v>
          </cell>
          <cell r="AE247" t="str">
            <v>イ</v>
          </cell>
          <cell r="AF247">
            <v>15</v>
          </cell>
          <cell r="AI247" t="str">
            <v>大倉沢川</v>
          </cell>
          <cell r="AK247" t="str">
            <v>北上川</v>
          </cell>
          <cell r="AL247" t="str">
            <v>北上川浄水場取水口</v>
          </cell>
          <cell r="AM247">
            <v>15</v>
          </cell>
          <cell r="AO247" t="str">
            <v>北上市</v>
          </cell>
          <cell r="AQ247" t="str">
            <v/>
          </cell>
          <cell r="AR247" t="str">
            <v>標準活性汚泥法</v>
          </cell>
          <cell r="AS247" t="str">
            <v>0300181002</v>
          </cell>
          <cell r="AT247" t="str">
            <v/>
          </cell>
          <cell r="AU247" t="str">
            <v>11</v>
          </cell>
          <cell r="AV247" t="str">
            <v>11</v>
          </cell>
          <cell r="AW247">
            <v>0</v>
          </cell>
          <cell r="AX247">
            <v>0</v>
          </cell>
          <cell r="AY247">
            <v>0</v>
          </cell>
          <cell r="AZ247">
            <v>0</v>
          </cell>
          <cell r="BA247">
            <v>0</v>
          </cell>
          <cell r="BD247" t="str">
            <v/>
          </cell>
          <cell r="BE247">
            <v>1</v>
          </cell>
          <cell r="BG247" t="str">
            <v>1110</v>
          </cell>
        </row>
        <row r="248">
          <cell r="B248" t="str">
            <v>G030018106100300</v>
          </cell>
          <cell r="C248" t="str">
            <v>03.岩手県</v>
          </cell>
          <cell r="D248" t="str">
            <v>001</v>
          </cell>
          <cell r="E248" t="str">
            <v>北上川上流流域</v>
          </cell>
          <cell r="F248" t="str">
            <v>81</v>
          </cell>
          <cell r="G248" t="str">
            <v>流域</v>
          </cell>
          <cell r="H248" t="str">
            <v>流域下水道</v>
          </cell>
          <cell r="I248" t="str">
            <v/>
          </cell>
          <cell r="J248" t="str">
            <v>003</v>
          </cell>
          <cell r="K248" t="str">
            <v>水沢浄化センター</v>
          </cell>
          <cell r="M248" t="str">
            <v>1</v>
          </cell>
          <cell r="N248" t="str">
            <v>1</v>
          </cell>
          <cell r="Q248">
            <v>33878</v>
          </cell>
          <cell r="R248" t="str">
            <v>平成</v>
          </cell>
          <cell r="S248">
            <v>4</v>
          </cell>
          <cell r="T248">
            <v>10</v>
          </cell>
          <cell r="AB248">
            <v>67080</v>
          </cell>
          <cell r="AC248" t="str">
            <v>北上川(4)</v>
          </cell>
          <cell r="AD248" t="str">
            <v>Ａ</v>
          </cell>
          <cell r="AE248" t="str">
            <v>イ</v>
          </cell>
          <cell r="AK248" t="str">
            <v>北上川</v>
          </cell>
          <cell r="AL248" t="str">
            <v xml:space="preserve">小谷下取水場 </v>
          </cell>
          <cell r="AN248">
            <v>2</v>
          </cell>
          <cell r="AO248" t="str">
            <v>奥州市</v>
          </cell>
          <cell r="AQ248" t="str">
            <v/>
          </cell>
          <cell r="AR248" t="str">
            <v>標準活性汚泥法</v>
          </cell>
          <cell r="AS248" t="str">
            <v>0300181003</v>
          </cell>
          <cell r="AT248" t="str">
            <v/>
          </cell>
          <cell r="AU248" t="str">
            <v>10</v>
          </cell>
          <cell r="AV248" t="str">
            <v>10</v>
          </cell>
          <cell r="AW248">
            <v>0</v>
          </cell>
          <cell r="AX248">
            <v>0</v>
          </cell>
          <cell r="AY248">
            <v>0</v>
          </cell>
          <cell r="AZ248">
            <v>0</v>
          </cell>
          <cell r="BA248">
            <v>0</v>
          </cell>
          <cell r="BD248" t="str">
            <v/>
          </cell>
          <cell r="BE248">
            <v>1</v>
          </cell>
          <cell r="BG248" t="str">
            <v>1100</v>
          </cell>
        </row>
        <row r="249">
          <cell r="B249" t="str">
            <v>G030028106100100</v>
          </cell>
          <cell r="C249" t="str">
            <v>03.岩手県</v>
          </cell>
          <cell r="D249" t="str">
            <v>002</v>
          </cell>
          <cell r="E249" t="str">
            <v>磐井川流域</v>
          </cell>
          <cell r="F249" t="str">
            <v>81</v>
          </cell>
          <cell r="G249" t="str">
            <v>流域</v>
          </cell>
          <cell r="H249" t="str">
            <v>流域下水道</v>
          </cell>
          <cell r="I249" t="str">
            <v/>
          </cell>
          <cell r="J249" t="str">
            <v>001</v>
          </cell>
          <cell r="K249" t="str">
            <v>一関浄化センター</v>
          </cell>
          <cell r="M249" t="str">
            <v>1</v>
          </cell>
          <cell r="N249" t="str">
            <v>1</v>
          </cell>
          <cell r="Q249">
            <v>32964</v>
          </cell>
          <cell r="R249" t="str">
            <v>平成</v>
          </cell>
          <cell r="S249">
            <v>2</v>
          </cell>
          <cell r="T249">
            <v>4</v>
          </cell>
          <cell r="AB249">
            <v>38330</v>
          </cell>
          <cell r="AC249" t="str">
            <v>磐井川下流</v>
          </cell>
          <cell r="AD249" t="str">
            <v>Ｃ</v>
          </cell>
          <cell r="AE249" t="str">
            <v>ロ</v>
          </cell>
          <cell r="AF249">
            <v>15</v>
          </cell>
          <cell r="AI249" t="str">
            <v>吸川</v>
          </cell>
          <cell r="AK249" t="str">
            <v>北上川</v>
          </cell>
          <cell r="AL249" t="str">
            <v>簡易第1･2取水口</v>
          </cell>
          <cell r="AN249">
            <v>9</v>
          </cell>
          <cell r="AO249" t="str">
            <v>一関市</v>
          </cell>
          <cell r="AQ249" t="str">
            <v/>
          </cell>
          <cell r="AR249" t="str">
            <v>標準活性汚泥法</v>
          </cell>
          <cell r="AS249" t="str">
            <v>0300281001</v>
          </cell>
          <cell r="AT249" t="str">
            <v/>
          </cell>
          <cell r="AU249" t="str">
            <v>10</v>
          </cell>
          <cell r="AV249" t="str">
            <v>10</v>
          </cell>
          <cell r="AW249">
            <v>0</v>
          </cell>
          <cell r="AX249">
            <v>0</v>
          </cell>
          <cell r="AY249">
            <v>0</v>
          </cell>
          <cell r="AZ249">
            <v>0</v>
          </cell>
          <cell r="BA249">
            <v>0</v>
          </cell>
          <cell r="BD249" t="str">
            <v/>
          </cell>
          <cell r="BE249">
            <v>1</v>
          </cell>
          <cell r="BG249" t="str">
            <v>1100</v>
          </cell>
        </row>
        <row r="250">
          <cell r="B250" t="str">
            <v>G032010106100100</v>
          </cell>
          <cell r="C250" t="str">
            <v>03.岩手県</v>
          </cell>
          <cell r="D250" t="str">
            <v>201</v>
          </cell>
          <cell r="E250" t="str">
            <v>盛岡市</v>
          </cell>
          <cell r="F250" t="str">
            <v>01</v>
          </cell>
          <cell r="G250" t="str">
            <v>公共 単独</v>
          </cell>
          <cell r="H250" t="str">
            <v>公共下水道</v>
          </cell>
          <cell r="I250" t="str">
            <v>単独</v>
          </cell>
          <cell r="J250" t="str">
            <v>001</v>
          </cell>
          <cell r="K250" t="str">
            <v>中川原終末処理場</v>
          </cell>
          <cell r="M250" t="str">
            <v>1</v>
          </cell>
          <cell r="N250" t="str">
            <v>1</v>
          </cell>
          <cell r="Q250">
            <v>23833</v>
          </cell>
          <cell r="R250" t="str">
            <v>昭和</v>
          </cell>
          <cell r="S250">
            <v>40</v>
          </cell>
          <cell r="T250">
            <v>4</v>
          </cell>
          <cell r="AB250">
            <v>32931</v>
          </cell>
          <cell r="AC250" t="str">
            <v>北上川（3）</v>
          </cell>
          <cell r="AD250" t="str">
            <v>Ａ</v>
          </cell>
          <cell r="AE250" t="str">
            <v>ロ</v>
          </cell>
          <cell r="AK250" t="str">
            <v>北上川</v>
          </cell>
          <cell r="AL250" t="str">
            <v>中津川取水口</v>
          </cell>
          <cell r="AM250">
            <v>7.2</v>
          </cell>
          <cell r="AO250" t="str">
            <v>盛岡市</v>
          </cell>
          <cell r="AQ250" t="str">
            <v/>
          </cell>
          <cell r="AR250" t="str">
            <v>高速散水ろ床法</v>
          </cell>
          <cell r="AS250" t="str">
            <v>0320101001</v>
          </cell>
          <cell r="AT250" t="str">
            <v/>
          </cell>
          <cell r="AU250" t="str">
            <v>10</v>
          </cell>
          <cell r="AV250" t="str">
            <v>10</v>
          </cell>
          <cell r="AW250">
            <v>0</v>
          </cell>
          <cell r="AX250">
            <v>0</v>
          </cell>
          <cell r="AY250">
            <v>0</v>
          </cell>
          <cell r="AZ250">
            <v>0</v>
          </cell>
          <cell r="BA250">
            <v>0</v>
          </cell>
          <cell r="BD250" t="str">
            <v/>
          </cell>
          <cell r="BE250">
            <v>0</v>
          </cell>
          <cell r="BF250" t="str">
            <v>流域編入：廃止</v>
          </cell>
          <cell r="BG250" t="str">
            <v>1100</v>
          </cell>
        </row>
        <row r="251">
          <cell r="B251" t="str">
            <v>G032020106100100</v>
          </cell>
          <cell r="C251" t="str">
            <v>03.岩手県</v>
          </cell>
          <cell r="D251" t="str">
            <v>202</v>
          </cell>
          <cell r="E251" t="str">
            <v>宮古市</v>
          </cell>
          <cell r="F251" t="str">
            <v>01</v>
          </cell>
          <cell r="G251" t="str">
            <v>公共 単独</v>
          </cell>
          <cell r="H251" t="str">
            <v>公共下水道</v>
          </cell>
          <cell r="I251" t="str">
            <v>単独</v>
          </cell>
          <cell r="J251" t="str">
            <v>001</v>
          </cell>
          <cell r="K251" t="str">
            <v>宮古浄化センター</v>
          </cell>
          <cell r="M251" t="str">
            <v>1</v>
          </cell>
          <cell r="N251" t="str">
            <v>1</v>
          </cell>
          <cell r="Q251">
            <v>32417</v>
          </cell>
          <cell r="R251" t="str">
            <v>昭和</v>
          </cell>
          <cell r="S251">
            <v>63</v>
          </cell>
          <cell r="T251">
            <v>10</v>
          </cell>
          <cell r="AB251">
            <v>121370</v>
          </cell>
          <cell r="AC251" t="str">
            <v>宮古湾</v>
          </cell>
          <cell r="AD251" t="str">
            <v>Ａ</v>
          </cell>
          <cell r="AE251" t="str">
            <v>ロ</v>
          </cell>
          <cell r="AF251">
            <v>15</v>
          </cell>
          <cell r="AJ251" t="str">
            <v>閉伊川</v>
          </cell>
          <cell r="AQ251" t="str">
            <v/>
          </cell>
          <cell r="AR251" t="str">
            <v>標準活性汚泥法</v>
          </cell>
          <cell r="AS251" t="str">
            <v>0320201001</v>
          </cell>
          <cell r="AT251" t="str">
            <v/>
          </cell>
          <cell r="AU251" t="str">
            <v>10</v>
          </cell>
          <cell r="AV251" t="str">
            <v>10</v>
          </cell>
          <cell r="AW251">
            <v>0</v>
          </cell>
          <cell r="AX251">
            <v>0</v>
          </cell>
          <cell r="AY251">
            <v>0</v>
          </cell>
          <cell r="AZ251">
            <v>0</v>
          </cell>
          <cell r="BA251">
            <v>0</v>
          </cell>
          <cell r="BD251" t="str">
            <v/>
          </cell>
          <cell r="BE251">
            <v>1</v>
          </cell>
          <cell r="BG251" t="str">
            <v>1100</v>
          </cell>
        </row>
        <row r="252">
          <cell r="B252" t="str">
            <v>G032020206100200</v>
          </cell>
          <cell r="C252" t="str">
            <v>03.岩手県</v>
          </cell>
          <cell r="D252" t="str">
            <v>202</v>
          </cell>
          <cell r="E252" t="str">
            <v>宮古市</v>
          </cell>
          <cell r="F252" t="str">
            <v>02</v>
          </cell>
          <cell r="G252" t="str">
            <v>特環 単独</v>
          </cell>
          <cell r="H252" t="str">
            <v>特定環境保全公共下水道</v>
          </cell>
          <cell r="I252" t="str">
            <v>単独</v>
          </cell>
          <cell r="J252" t="str">
            <v>002</v>
          </cell>
          <cell r="K252" t="str">
            <v>田老浄化センター</v>
          </cell>
          <cell r="M252" t="str">
            <v>1</v>
          </cell>
          <cell r="Q252">
            <v>36923</v>
          </cell>
          <cell r="R252" t="str">
            <v>平成</v>
          </cell>
          <cell r="S252">
            <v>13</v>
          </cell>
          <cell r="T252">
            <v>2</v>
          </cell>
          <cell r="AB252">
            <v>4600</v>
          </cell>
          <cell r="AC252" t="str">
            <v>神田川</v>
          </cell>
          <cell r="AD252" t="str">
            <v>Ａ</v>
          </cell>
          <cell r="AE252" t="str">
            <v>イ</v>
          </cell>
          <cell r="AF252">
            <v>15</v>
          </cell>
          <cell r="AI252" t="str">
            <v>神田川</v>
          </cell>
          <cell r="AJ252" t="str">
            <v>田代川</v>
          </cell>
          <cell r="AQ252" t="str">
            <v/>
          </cell>
          <cell r="AR252" t="str">
            <v>嫌気好気ろ床法</v>
          </cell>
          <cell r="AS252" t="str">
            <v>0320202002</v>
          </cell>
          <cell r="AT252" t="str">
            <v/>
          </cell>
          <cell r="AU252" t="str">
            <v>00</v>
          </cell>
          <cell r="AV252" t="str">
            <v>00</v>
          </cell>
          <cell r="AW252">
            <v>0</v>
          </cell>
          <cell r="AX252">
            <v>0</v>
          </cell>
          <cell r="AY252">
            <v>0</v>
          </cell>
          <cell r="AZ252">
            <v>0</v>
          </cell>
          <cell r="BA252">
            <v>0</v>
          </cell>
          <cell r="BD252" t="str">
            <v/>
          </cell>
          <cell r="BE252">
            <v>1</v>
          </cell>
          <cell r="BG252" t="str">
            <v>1000</v>
          </cell>
        </row>
        <row r="253">
          <cell r="B253" t="str">
            <v>G032030106100100</v>
          </cell>
          <cell r="C253" t="str">
            <v>03.岩手県</v>
          </cell>
          <cell r="D253" t="str">
            <v>203</v>
          </cell>
          <cell r="E253" t="str">
            <v>大船渡市</v>
          </cell>
          <cell r="F253" t="str">
            <v>01</v>
          </cell>
          <cell r="G253" t="str">
            <v>公共 単独</v>
          </cell>
          <cell r="H253" t="str">
            <v>公共下水道</v>
          </cell>
          <cell r="I253" t="str">
            <v>単独</v>
          </cell>
          <cell r="J253" t="str">
            <v>001</v>
          </cell>
          <cell r="K253" t="str">
            <v>大船渡浄化センター</v>
          </cell>
          <cell r="M253" t="str">
            <v>1</v>
          </cell>
          <cell r="N253" t="str">
            <v>1</v>
          </cell>
          <cell r="Q253">
            <v>34608</v>
          </cell>
          <cell r="R253" t="str">
            <v>平成</v>
          </cell>
          <cell r="S253">
            <v>6</v>
          </cell>
          <cell r="T253">
            <v>10</v>
          </cell>
          <cell r="AB253">
            <v>27822</v>
          </cell>
          <cell r="AC253" t="str">
            <v>大船渡湾（甲）</v>
          </cell>
          <cell r="AD253" t="str">
            <v>Ａ-Ⅱ</v>
          </cell>
          <cell r="AF253">
            <v>15</v>
          </cell>
          <cell r="AI253" t="str">
            <v>新田都市下水路</v>
          </cell>
          <cell r="AM253">
            <v>5</v>
          </cell>
          <cell r="AO253" t="str">
            <v>大船渡市</v>
          </cell>
          <cell r="AQ253" t="str">
            <v/>
          </cell>
          <cell r="AR253" t="str">
            <v>長時間エアレーション法</v>
          </cell>
          <cell r="AS253" t="str">
            <v>0320301001</v>
          </cell>
          <cell r="AT253" t="str">
            <v/>
          </cell>
          <cell r="AU253" t="str">
            <v>10</v>
          </cell>
          <cell r="AV253" t="str">
            <v>10</v>
          </cell>
          <cell r="AW253">
            <v>0</v>
          </cell>
          <cell r="AX253">
            <v>0</v>
          </cell>
          <cell r="AY253">
            <v>0</v>
          </cell>
          <cell r="AZ253">
            <v>0</v>
          </cell>
          <cell r="BA253">
            <v>0</v>
          </cell>
          <cell r="BD253" t="str">
            <v/>
          </cell>
          <cell r="BE253">
            <v>1</v>
          </cell>
          <cell r="BG253" t="str">
            <v>1100</v>
          </cell>
        </row>
        <row r="254">
          <cell r="B254" t="str">
            <v>G032050106100200</v>
          </cell>
          <cell r="C254" t="str">
            <v>03.岩手県</v>
          </cell>
          <cell r="D254" t="str">
            <v>205</v>
          </cell>
          <cell r="E254" t="str">
            <v>花巻市</v>
          </cell>
          <cell r="F254" t="str">
            <v>01</v>
          </cell>
          <cell r="G254" t="str">
            <v>公共 単独</v>
          </cell>
          <cell r="H254" t="str">
            <v>公共下水道</v>
          </cell>
          <cell r="I254" t="str">
            <v>単独</v>
          </cell>
          <cell r="J254" t="str">
            <v>002</v>
          </cell>
          <cell r="K254" t="str">
            <v>東和浄化センター</v>
          </cell>
          <cell r="M254" t="str">
            <v>1</v>
          </cell>
          <cell r="N254" t="str">
            <v>1</v>
          </cell>
          <cell r="Q254">
            <v>36861</v>
          </cell>
          <cell r="R254" t="str">
            <v>平成</v>
          </cell>
          <cell r="S254">
            <v>12</v>
          </cell>
          <cell r="T254">
            <v>12</v>
          </cell>
          <cell r="AB254">
            <v>7100</v>
          </cell>
          <cell r="AK254" t="str">
            <v>猿ヶ石川</v>
          </cell>
          <cell r="AL254" t="str">
            <v>矢崎取水場</v>
          </cell>
          <cell r="AM254">
            <v>0.5</v>
          </cell>
          <cell r="AO254" t="str">
            <v>花巻市</v>
          </cell>
          <cell r="AQ254" t="str">
            <v/>
          </cell>
          <cell r="AR254" t="str">
            <v>オキシディションディッチ法</v>
          </cell>
          <cell r="AS254" t="str">
            <v>0320501002</v>
          </cell>
          <cell r="AT254" t="str">
            <v/>
          </cell>
          <cell r="AU254" t="str">
            <v>10</v>
          </cell>
          <cell r="AV254" t="str">
            <v>10</v>
          </cell>
          <cell r="AW254">
            <v>0</v>
          </cell>
          <cell r="AX254">
            <v>0</v>
          </cell>
          <cell r="AY254">
            <v>0</v>
          </cell>
          <cell r="AZ254">
            <v>0</v>
          </cell>
          <cell r="BA254">
            <v>0</v>
          </cell>
          <cell r="BD254" t="str">
            <v/>
          </cell>
          <cell r="BE254">
            <v>1</v>
          </cell>
          <cell r="BG254" t="str">
            <v>1100</v>
          </cell>
        </row>
        <row r="255">
          <cell r="B255" t="str">
            <v>G032050206100300</v>
          </cell>
          <cell r="C255" t="str">
            <v>03.岩手県</v>
          </cell>
          <cell r="D255" t="str">
            <v>205</v>
          </cell>
          <cell r="E255" t="str">
            <v>花巻市</v>
          </cell>
          <cell r="F255" t="str">
            <v>02</v>
          </cell>
          <cell r="G255" t="str">
            <v>特環 単独</v>
          </cell>
          <cell r="H255" t="str">
            <v>特定環境保全公共下水道</v>
          </cell>
          <cell r="I255" t="str">
            <v>単独</v>
          </cell>
          <cell r="J255" t="str">
            <v>003</v>
          </cell>
          <cell r="K255" t="str">
            <v>大迫浄化センター</v>
          </cell>
          <cell r="M255" t="str">
            <v>1</v>
          </cell>
          <cell r="N255" t="str">
            <v>1</v>
          </cell>
          <cell r="Q255">
            <v>36251</v>
          </cell>
          <cell r="R255" t="str">
            <v>平成</v>
          </cell>
          <cell r="S255">
            <v>11</v>
          </cell>
          <cell r="T255">
            <v>4</v>
          </cell>
          <cell r="AB255">
            <v>9620</v>
          </cell>
          <cell r="AC255" t="str">
            <v>稗貫川</v>
          </cell>
          <cell r="AD255" t="str">
            <v>Ａ</v>
          </cell>
          <cell r="AE255" t="str">
            <v>イ</v>
          </cell>
          <cell r="AF255">
            <v>15</v>
          </cell>
          <cell r="AI255" t="str">
            <v>水路</v>
          </cell>
          <cell r="AK255" t="str">
            <v>稗貫川</v>
          </cell>
          <cell r="AO255" t="str">
            <v>花巻市</v>
          </cell>
          <cell r="AQ255" t="str">
            <v/>
          </cell>
          <cell r="AR255" t="str">
            <v>オキシディションディッチ法</v>
          </cell>
          <cell r="AS255" t="str">
            <v>0320502003</v>
          </cell>
          <cell r="AT255" t="str">
            <v/>
          </cell>
          <cell r="AU255" t="str">
            <v>10</v>
          </cell>
          <cell r="AV255" t="str">
            <v>10</v>
          </cell>
          <cell r="AW255">
            <v>0</v>
          </cell>
          <cell r="AX255">
            <v>0</v>
          </cell>
          <cell r="AY255">
            <v>0</v>
          </cell>
          <cell r="AZ255">
            <v>0</v>
          </cell>
          <cell r="BA255">
            <v>0</v>
          </cell>
          <cell r="BD255" t="str">
            <v/>
          </cell>
          <cell r="BE255">
            <v>1</v>
          </cell>
          <cell r="BG255" t="str">
            <v>1100</v>
          </cell>
        </row>
        <row r="256">
          <cell r="B256" t="str">
            <v>G032060306100100</v>
          </cell>
          <cell r="C256" t="str">
            <v>03.岩手県</v>
          </cell>
          <cell r="D256" t="str">
            <v>206</v>
          </cell>
          <cell r="E256" t="str">
            <v>北上市</v>
          </cell>
          <cell r="F256" t="str">
            <v>03</v>
          </cell>
          <cell r="G256" t="str">
            <v>特定 単独</v>
          </cell>
          <cell r="H256" t="str">
            <v>特定公共下水道</v>
          </cell>
          <cell r="I256" t="str">
            <v>単独</v>
          </cell>
          <cell r="J256" t="str">
            <v>001</v>
          </cell>
          <cell r="K256" t="str">
            <v>北上工業団地終末処理場</v>
          </cell>
          <cell r="M256" t="str">
            <v>1</v>
          </cell>
          <cell r="N256" t="str">
            <v>1</v>
          </cell>
          <cell r="Q256">
            <v>30956</v>
          </cell>
          <cell r="R256" t="str">
            <v>昭和</v>
          </cell>
          <cell r="S256">
            <v>59</v>
          </cell>
          <cell r="T256">
            <v>10</v>
          </cell>
          <cell r="AB256">
            <v>12800</v>
          </cell>
          <cell r="AC256" t="str">
            <v>北上川</v>
          </cell>
          <cell r="AD256" t="str">
            <v>Ａ</v>
          </cell>
          <cell r="AE256" t="str">
            <v>ロ</v>
          </cell>
          <cell r="AF256">
            <v>15</v>
          </cell>
          <cell r="AK256" t="str">
            <v>北上川</v>
          </cell>
          <cell r="AL256" t="str">
            <v>北上川取水口</v>
          </cell>
          <cell r="AM256">
            <v>0.2</v>
          </cell>
          <cell r="AO256" t="str">
            <v>北上市</v>
          </cell>
          <cell r="AP256" t="str">
            <v>ＢＯＤ認可値</v>
          </cell>
          <cell r="AQ256" t="str">
            <v/>
          </cell>
          <cell r="AR256" t="str">
            <v>標準活性汚泥法</v>
          </cell>
          <cell r="AS256" t="str">
            <v>0320603001</v>
          </cell>
          <cell r="AT256" t="str">
            <v/>
          </cell>
          <cell r="AU256" t="str">
            <v>10</v>
          </cell>
          <cell r="AV256" t="str">
            <v>10</v>
          </cell>
          <cell r="AW256">
            <v>0</v>
          </cell>
          <cell r="AX256">
            <v>0</v>
          </cell>
          <cell r="AY256">
            <v>0</v>
          </cell>
          <cell r="AZ256">
            <v>0</v>
          </cell>
          <cell r="BA256">
            <v>0</v>
          </cell>
          <cell r="BD256" t="str">
            <v/>
          </cell>
          <cell r="BE256">
            <v>1</v>
          </cell>
          <cell r="BG256" t="str">
            <v>1100</v>
          </cell>
        </row>
        <row r="257">
          <cell r="B257" t="str">
            <v>G032070106100100</v>
          </cell>
          <cell r="C257" t="str">
            <v>03.岩手県</v>
          </cell>
          <cell r="D257" t="str">
            <v>207</v>
          </cell>
          <cell r="E257" t="str">
            <v>久慈市</v>
          </cell>
          <cell r="F257" t="str">
            <v>01</v>
          </cell>
          <cell r="G257" t="str">
            <v>公共 単独</v>
          </cell>
          <cell r="H257" t="str">
            <v>公共下水道</v>
          </cell>
          <cell r="I257" t="str">
            <v>単独</v>
          </cell>
          <cell r="J257" t="str">
            <v>001</v>
          </cell>
          <cell r="K257" t="str">
            <v>久慈浄化センター</v>
          </cell>
          <cell r="M257" t="str">
            <v>1</v>
          </cell>
          <cell r="N257" t="str">
            <v>1</v>
          </cell>
          <cell r="Q257">
            <v>33695</v>
          </cell>
          <cell r="R257" t="str">
            <v>平成</v>
          </cell>
          <cell r="S257">
            <v>4</v>
          </cell>
          <cell r="T257">
            <v>4</v>
          </cell>
          <cell r="AB257">
            <v>61700</v>
          </cell>
          <cell r="AC257" t="str">
            <v>久慈川</v>
          </cell>
          <cell r="AD257" t="str">
            <v>Ａ</v>
          </cell>
          <cell r="AF257">
            <v>15</v>
          </cell>
          <cell r="AJ257" t="str">
            <v>久慈川</v>
          </cell>
          <cell r="AQ257" t="str">
            <v/>
          </cell>
          <cell r="AR257" t="str">
            <v>オキシディションディッチ法</v>
          </cell>
          <cell r="AS257" t="str">
            <v>0320701001</v>
          </cell>
          <cell r="AT257" t="str">
            <v/>
          </cell>
          <cell r="AU257" t="str">
            <v>10</v>
          </cell>
          <cell r="AV257" t="str">
            <v>10</v>
          </cell>
          <cell r="AW257">
            <v>0</v>
          </cell>
          <cell r="AX257">
            <v>0</v>
          </cell>
          <cell r="AY257">
            <v>0</v>
          </cell>
          <cell r="AZ257">
            <v>0</v>
          </cell>
          <cell r="BA257">
            <v>0</v>
          </cell>
          <cell r="BD257" t="str">
            <v/>
          </cell>
          <cell r="BE257">
            <v>1</v>
          </cell>
          <cell r="BG257" t="str">
            <v>1100</v>
          </cell>
        </row>
        <row r="258">
          <cell r="B258" t="str">
            <v>G032080106100100</v>
          </cell>
          <cell r="C258" t="str">
            <v>03.岩手県</v>
          </cell>
          <cell r="D258" t="str">
            <v>208</v>
          </cell>
          <cell r="E258" t="str">
            <v>遠野市</v>
          </cell>
          <cell r="F258" t="str">
            <v>01</v>
          </cell>
          <cell r="G258" t="str">
            <v>公共 単独</v>
          </cell>
          <cell r="H258" t="str">
            <v>公共下水道</v>
          </cell>
          <cell r="I258" t="str">
            <v>単独</v>
          </cell>
          <cell r="J258" t="str">
            <v>001</v>
          </cell>
          <cell r="K258" t="str">
            <v>遠野浄化センター</v>
          </cell>
          <cell r="M258" t="str">
            <v>1</v>
          </cell>
          <cell r="N258" t="str">
            <v>1</v>
          </cell>
          <cell r="Q258">
            <v>35285</v>
          </cell>
          <cell r="R258" t="str">
            <v>平成</v>
          </cell>
          <cell r="S258">
            <v>8</v>
          </cell>
          <cell r="T258">
            <v>8</v>
          </cell>
          <cell r="AB258">
            <v>32000</v>
          </cell>
          <cell r="AC258" t="str">
            <v>猿ヶ石川</v>
          </cell>
          <cell r="AD258" t="str">
            <v>Ａ</v>
          </cell>
          <cell r="AE258" t="str">
            <v>イ</v>
          </cell>
          <cell r="AF258">
            <v>15</v>
          </cell>
          <cell r="AK258" t="str">
            <v>猿ヶ石川</v>
          </cell>
          <cell r="AQ258" t="str">
            <v/>
          </cell>
          <cell r="AR258" t="str">
            <v>オキシディションディッチ法</v>
          </cell>
          <cell r="AS258" t="str">
            <v>0320801001</v>
          </cell>
          <cell r="AT258" t="str">
            <v/>
          </cell>
          <cell r="AU258" t="str">
            <v>10</v>
          </cell>
          <cell r="AV258" t="str">
            <v>10</v>
          </cell>
          <cell r="AW258">
            <v>0</v>
          </cell>
          <cell r="AX258">
            <v>0</v>
          </cell>
          <cell r="AY258">
            <v>0</v>
          </cell>
          <cell r="AZ258">
            <v>0</v>
          </cell>
          <cell r="BA258">
            <v>0</v>
          </cell>
          <cell r="BD258" t="str">
            <v/>
          </cell>
          <cell r="BE258">
            <v>1</v>
          </cell>
          <cell r="BG258" t="str">
            <v>1100</v>
          </cell>
        </row>
        <row r="259">
          <cell r="B259" t="str">
            <v>G032080206100200</v>
          </cell>
          <cell r="C259" t="str">
            <v>03.岩手県</v>
          </cell>
          <cell r="D259" t="str">
            <v>208</v>
          </cell>
          <cell r="E259" t="str">
            <v>遠野市</v>
          </cell>
          <cell r="F259" t="str">
            <v>02</v>
          </cell>
          <cell r="G259" t="str">
            <v>特環 単独</v>
          </cell>
          <cell r="H259" t="str">
            <v>特定環境保全公共下水道</v>
          </cell>
          <cell r="I259" t="str">
            <v>単独</v>
          </cell>
          <cell r="J259" t="str">
            <v>002</v>
          </cell>
          <cell r="K259" t="str">
            <v>宮守浄化センター</v>
          </cell>
          <cell r="M259" t="str">
            <v>1</v>
          </cell>
          <cell r="N259" t="str">
            <v>1</v>
          </cell>
          <cell r="Q259">
            <v>37347</v>
          </cell>
          <cell r="R259" t="str">
            <v>平成</v>
          </cell>
          <cell r="S259">
            <v>14</v>
          </cell>
          <cell r="T259">
            <v>4</v>
          </cell>
          <cell r="AB259">
            <v>4457</v>
          </cell>
          <cell r="AC259" t="str">
            <v>猿ヶ石川</v>
          </cell>
          <cell r="AD259" t="str">
            <v>Ａ</v>
          </cell>
          <cell r="AE259" t="str">
            <v>イ</v>
          </cell>
          <cell r="AF259">
            <v>15</v>
          </cell>
          <cell r="AI259" t="str">
            <v>猿ヶ石川支流</v>
          </cell>
          <cell r="AN259">
            <v>7.4</v>
          </cell>
          <cell r="AO259" t="str">
            <v>花巻市</v>
          </cell>
          <cell r="AQ259" t="str">
            <v/>
          </cell>
          <cell r="AR259" t="str">
            <v>オキシディションディッチ法</v>
          </cell>
          <cell r="AS259" t="str">
            <v>0320802002</v>
          </cell>
          <cell r="AT259" t="str">
            <v/>
          </cell>
          <cell r="AU259" t="str">
            <v>10</v>
          </cell>
          <cell r="AV259" t="str">
            <v>10</v>
          </cell>
          <cell r="AW259">
            <v>0</v>
          </cell>
          <cell r="AX259">
            <v>0</v>
          </cell>
          <cell r="AY259">
            <v>0</v>
          </cell>
          <cell r="AZ259">
            <v>0</v>
          </cell>
          <cell r="BA259">
            <v>0</v>
          </cell>
          <cell r="BD259" t="str">
            <v/>
          </cell>
          <cell r="BE259">
            <v>1</v>
          </cell>
          <cell r="BG259" t="str">
            <v>1100</v>
          </cell>
        </row>
        <row r="260">
          <cell r="B260" t="str">
            <v>G032090106100100</v>
          </cell>
          <cell r="C260" t="str">
            <v>03.岩手県</v>
          </cell>
          <cell r="D260" t="str">
            <v>209</v>
          </cell>
          <cell r="E260" t="str">
            <v>一関市</v>
          </cell>
          <cell r="F260" t="str">
            <v>01</v>
          </cell>
          <cell r="G260" t="str">
            <v>公共 単独</v>
          </cell>
          <cell r="H260" t="str">
            <v>公共下水道</v>
          </cell>
          <cell r="I260" t="str">
            <v>単独</v>
          </cell>
          <cell r="J260" t="str">
            <v>001</v>
          </cell>
          <cell r="K260" t="str">
            <v>東山浄化センター</v>
          </cell>
          <cell r="M260" t="str">
            <v>1</v>
          </cell>
          <cell r="N260" t="str">
            <v>1</v>
          </cell>
          <cell r="Q260">
            <v>36982</v>
          </cell>
          <cell r="R260" t="str">
            <v>平成</v>
          </cell>
          <cell r="S260">
            <v>13</v>
          </cell>
          <cell r="T260">
            <v>4</v>
          </cell>
          <cell r="AB260">
            <v>14300</v>
          </cell>
          <cell r="AC260" t="str">
            <v>砂鉄川</v>
          </cell>
          <cell r="AD260" t="str">
            <v>Ａ</v>
          </cell>
          <cell r="AE260" t="str">
            <v>イ</v>
          </cell>
          <cell r="AF260">
            <v>15</v>
          </cell>
          <cell r="AK260" t="str">
            <v>1級河川　砂鉄川</v>
          </cell>
          <cell r="AL260" t="str">
            <v>川崎簡易水</v>
          </cell>
          <cell r="AN260">
            <v>8</v>
          </cell>
          <cell r="AO260" t="str">
            <v>一関市</v>
          </cell>
          <cell r="AQ260" t="str">
            <v/>
          </cell>
          <cell r="AR260" t="str">
            <v>オキシディションディッチ法</v>
          </cell>
          <cell r="AS260" t="str">
            <v>0320901001</v>
          </cell>
          <cell r="AT260" t="str">
            <v/>
          </cell>
          <cell r="AU260" t="str">
            <v>10</v>
          </cell>
          <cell r="AV260" t="str">
            <v>10</v>
          </cell>
          <cell r="AW260">
            <v>0</v>
          </cell>
          <cell r="AX260">
            <v>0</v>
          </cell>
          <cell r="AY260">
            <v>0</v>
          </cell>
          <cell r="AZ260">
            <v>0</v>
          </cell>
          <cell r="BA260">
            <v>0</v>
          </cell>
          <cell r="BD260" t="str">
            <v/>
          </cell>
          <cell r="BE260">
            <v>1</v>
          </cell>
          <cell r="BG260" t="str">
            <v>1100</v>
          </cell>
        </row>
        <row r="261">
          <cell r="B261" t="str">
            <v>G032090206100200</v>
          </cell>
          <cell r="C261" t="str">
            <v>03.岩手県</v>
          </cell>
          <cell r="D261" t="str">
            <v>209</v>
          </cell>
          <cell r="E261" t="str">
            <v>一関市</v>
          </cell>
          <cell r="F261" t="str">
            <v>02</v>
          </cell>
          <cell r="G261" t="str">
            <v>特環 単独</v>
          </cell>
          <cell r="H261" t="str">
            <v>特定環境保全公共下水道</v>
          </cell>
          <cell r="I261" t="str">
            <v>単独</v>
          </cell>
          <cell r="J261" t="str">
            <v>002</v>
          </cell>
          <cell r="K261" t="str">
            <v>花泉クリーンセンター</v>
          </cell>
          <cell r="M261" t="str">
            <v>1</v>
          </cell>
          <cell r="N261" t="str">
            <v>1</v>
          </cell>
          <cell r="Q261">
            <v>34973</v>
          </cell>
          <cell r="R261" t="str">
            <v>平成</v>
          </cell>
          <cell r="S261">
            <v>7</v>
          </cell>
          <cell r="T261">
            <v>10</v>
          </cell>
          <cell r="AB261">
            <v>8143</v>
          </cell>
          <cell r="AF261">
            <v>15</v>
          </cell>
          <cell r="AK261" t="str">
            <v>湧津排水路→金流川</v>
          </cell>
          <cell r="AO261" t="str">
            <v>登米市</v>
          </cell>
          <cell r="AQ261" t="str">
            <v/>
          </cell>
          <cell r="AR261" t="str">
            <v>オキシディションディッチ法</v>
          </cell>
          <cell r="AS261" t="str">
            <v>0320902002</v>
          </cell>
          <cell r="AT261" t="str">
            <v/>
          </cell>
          <cell r="AU261" t="str">
            <v>10</v>
          </cell>
          <cell r="AV261" t="str">
            <v>10</v>
          </cell>
          <cell r="AW261">
            <v>0</v>
          </cell>
          <cell r="AX261">
            <v>0</v>
          </cell>
          <cell r="AY261">
            <v>0</v>
          </cell>
          <cell r="AZ261">
            <v>0</v>
          </cell>
          <cell r="BA261">
            <v>0</v>
          </cell>
          <cell r="BD261" t="str">
            <v/>
          </cell>
          <cell r="BE261">
            <v>1</v>
          </cell>
          <cell r="BG261" t="str">
            <v>1100</v>
          </cell>
        </row>
        <row r="262">
          <cell r="B262" t="str">
            <v>G032090206100300</v>
          </cell>
          <cell r="C262" t="str">
            <v>03.岩手県</v>
          </cell>
          <cell r="D262" t="str">
            <v>209</v>
          </cell>
          <cell r="E262" t="str">
            <v>一関市</v>
          </cell>
          <cell r="F262" t="str">
            <v>02</v>
          </cell>
          <cell r="G262" t="str">
            <v>特環 単独</v>
          </cell>
          <cell r="H262" t="str">
            <v>特定環境保全公共下水道</v>
          </cell>
          <cell r="I262" t="str">
            <v>単独</v>
          </cell>
          <cell r="J262" t="str">
            <v>003</v>
          </cell>
          <cell r="K262" t="str">
            <v>法道地処理場</v>
          </cell>
          <cell r="U262" t="str">
            <v>廃止</v>
          </cell>
          <cell r="V262">
            <v>41000</v>
          </cell>
          <cell r="W262" t="str">
            <v>平成</v>
          </cell>
          <cell r="X262">
            <v>24</v>
          </cell>
          <cell r="Y262">
            <v>4</v>
          </cell>
          <cell r="AQ262" t="str">
            <v>廃止</v>
          </cell>
          <cell r="AR262" t="str">
            <v/>
          </cell>
          <cell r="AS262" t="str">
            <v>0320902003</v>
          </cell>
          <cell r="AT262">
            <v>1</v>
          </cell>
          <cell r="AU262" t="str">
            <v>00</v>
          </cell>
          <cell r="AV262" t="str">
            <v>00</v>
          </cell>
          <cell r="AW262">
            <v>0</v>
          </cell>
          <cell r="AX262">
            <v>0</v>
          </cell>
          <cell r="AY262">
            <v>0</v>
          </cell>
          <cell r="AZ262">
            <v>0</v>
          </cell>
          <cell r="BA262">
            <v>0</v>
          </cell>
          <cell r="BD262" t="str">
            <v/>
          </cell>
          <cell r="BE262">
            <v>0</v>
          </cell>
          <cell r="BG262">
            <v>9999</v>
          </cell>
        </row>
        <row r="263">
          <cell r="B263" t="str">
            <v>G032090206100400</v>
          </cell>
          <cell r="C263" t="str">
            <v>03.岩手県</v>
          </cell>
          <cell r="D263" t="str">
            <v>209</v>
          </cell>
          <cell r="E263" t="str">
            <v>一関市</v>
          </cell>
          <cell r="F263" t="str">
            <v>02</v>
          </cell>
          <cell r="G263" t="str">
            <v>特環 単独</v>
          </cell>
          <cell r="H263" t="str">
            <v>特定環境保全公共下水道</v>
          </cell>
          <cell r="I263" t="str">
            <v>単独</v>
          </cell>
          <cell r="J263" t="str">
            <v>004</v>
          </cell>
          <cell r="K263" t="str">
            <v>摺沢浄化センター</v>
          </cell>
          <cell r="M263" t="str">
            <v>1</v>
          </cell>
          <cell r="Q263">
            <v>37226</v>
          </cell>
          <cell r="R263" t="str">
            <v>平成</v>
          </cell>
          <cell r="S263">
            <v>13</v>
          </cell>
          <cell r="T263">
            <v>12</v>
          </cell>
          <cell r="AB263">
            <v>6500</v>
          </cell>
          <cell r="AC263" t="str">
            <v>北上川</v>
          </cell>
          <cell r="AD263" t="str">
            <v>Ａ</v>
          </cell>
          <cell r="AE263" t="str">
            <v>イ</v>
          </cell>
          <cell r="AF263">
            <v>15</v>
          </cell>
          <cell r="AI263" t="str">
            <v>網木川</v>
          </cell>
          <cell r="AK263" t="str">
            <v>曽慶川</v>
          </cell>
          <cell r="AQ263" t="str">
            <v/>
          </cell>
          <cell r="AR263" t="str">
            <v>好気性ろ床法</v>
          </cell>
          <cell r="AS263" t="str">
            <v>0320902004</v>
          </cell>
          <cell r="AT263" t="str">
            <v/>
          </cell>
          <cell r="AU263" t="str">
            <v>00</v>
          </cell>
          <cell r="AV263" t="str">
            <v>00</v>
          </cell>
          <cell r="AW263">
            <v>0</v>
          </cell>
          <cell r="AX263">
            <v>0</v>
          </cell>
          <cell r="AY263">
            <v>0</v>
          </cell>
          <cell r="AZ263">
            <v>0</v>
          </cell>
          <cell r="BA263">
            <v>0</v>
          </cell>
          <cell r="BD263" t="str">
            <v/>
          </cell>
          <cell r="BE263">
            <v>1</v>
          </cell>
          <cell r="BG263" t="str">
            <v>1000</v>
          </cell>
        </row>
        <row r="264">
          <cell r="B264" t="str">
            <v>G032090206100500</v>
          </cell>
          <cell r="C264" t="str">
            <v>03.岩手県</v>
          </cell>
          <cell r="D264" t="str">
            <v>209</v>
          </cell>
          <cell r="E264" t="str">
            <v>一関市</v>
          </cell>
          <cell r="F264" t="str">
            <v>02</v>
          </cell>
          <cell r="G264" t="str">
            <v>特環 単独</v>
          </cell>
          <cell r="H264" t="str">
            <v>特定環境保全公共下水道</v>
          </cell>
          <cell r="I264" t="str">
            <v>単独</v>
          </cell>
          <cell r="J264" t="str">
            <v>005</v>
          </cell>
          <cell r="K264" t="str">
            <v>大原浄化センター</v>
          </cell>
          <cell r="M264" t="str">
            <v>1</v>
          </cell>
          <cell r="N264" t="str">
            <v>1</v>
          </cell>
          <cell r="Q264">
            <v>38777</v>
          </cell>
          <cell r="R264" t="str">
            <v>平成</v>
          </cell>
          <cell r="S264">
            <v>18</v>
          </cell>
          <cell r="T264">
            <v>3</v>
          </cell>
          <cell r="AB264">
            <v>6400</v>
          </cell>
          <cell r="AC264" t="str">
            <v>北上川</v>
          </cell>
          <cell r="AD264" t="str">
            <v>Ａ</v>
          </cell>
          <cell r="AE264" t="str">
            <v>イ</v>
          </cell>
          <cell r="AF264">
            <v>15</v>
          </cell>
          <cell r="AK264" t="str">
            <v>佐鉄川</v>
          </cell>
          <cell r="AQ264" t="str">
            <v/>
          </cell>
          <cell r="AR264" t="str">
            <v>オキシディションディッチ法</v>
          </cell>
          <cell r="AS264" t="str">
            <v>0320902005</v>
          </cell>
          <cell r="AT264" t="str">
            <v/>
          </cell>
          <cell r="AU264" t="str">
            <v>10</v>
          </cell>
          <cell r="AV264" t="str">
            <v>10</v>
          </cell>
          <cell r="AW264">
            <v>0</v>
          </cell>
          <cell r="AX264">
            <v>0</v>
          </cell>
          <cell r="AY264">
            <v>0</v>
          </cell>
          <cell r="AZ264">
            <v>0</v>
          </cell>
          <cell r="BA264">
            <v>0</v>
          </cell>
          <cell r="BD264" t="str">
            <v/>
          </cell>
          <cell r="BE264">
            <v>1</v>
          </cell>
          <cell r="BG264" t="str">
            <v>1100</v>
          </cell>
        </row>
        <row r="265">
          <cell r="B265" t="str">
            <v>G032090206100600</v>
          </cell>
          <cell r="C265" t="str">
            <v>03.岩手県</v>
          </cell>
          <cell r="D265" t="str">
            <v>209</v>
          </cell>
          <cell r="E265" t="str">
            <v>一関市</v>
          </cell>
          <cell r="F265" t="str">
            <v>02</v>
          </cell>
          <cell r="G265" t="str">
            <v>特環 単独</v>
          </cell>
          <cell r="H265" t="str">
            <v>特定環境保全公共下水道</v>
          </cell>
          <cell r="I265" t="str">
            <v>単独</v>
          </cell>
          <cell r="J265" t="str">
            <v>006</v>
          </cell>
          <cell r="K265" t="str">
            <v>川崎浄化センター</v>
          </cell>
          <cell r="M265" t="str">
            <v>1</v>
          </cell>
          <cell r="N265" t="str">
            <v>1</v>
          </cell>
          <cell r="Q265">
            <v>39142</v>
          </cell>
          <cell r="R265" t="str">
            <v>平成</v>
          </cell>
          <cell r="S265">
            <v>19</v>
          </cell>
          <cell r="T265">
            <v>3</v>
          </cell>
          <cell r="AB265">
            <v>4998</v>
          </cell>
          <cell r="AC265" t="str">
            <v>砂鉄川</v>
          </cell>
          <cell r="AD265" t="str">
            <v>Ａ</v>
          </cell>
          <cell r="AE265" t="str">
            <v>イ</v>
          </cell>
          <cell r="AF265">
            <v>15</v>
          </cell>
          <cell r="AK265" t="str">
            <v>砂鉄川</v>
          </cell>
          <cell r="AL265" t="str">
            <v>川崎簡易水道</v>
          </cell>
          <cell r="AM265">
            <v>1</v>
          </cell>
          <cell r="AO265" t="str">
            <v>一関市</v>
          </cell>
          <cell r="AQ265" t="str">
            <v/>
          </cell>
          <cell r="AR265" t="str">
            <v>オキシディションディッチ法</v>
          </cell>
          <cell r="AS265" t="str">
            <v>0320902006</v>
          </cell>
          <cell r="AT265" t="str">
            <v/>
          </cell>
          <cell r="AU265" t="str">
            <v>10</v>
          </cell>
          <cell r="AV265" t="str">
            <v>10</v>
          </cell>
          <cell r="AW265">
            <v>0</v>
          </cell>
          <cell r="AX265">
            <v>0</v>
          </cell>
          <cell r="AY265">
            <v>0</v>
          </cell>
          <cell r="AZ265">
            <v>0</v>
          </cell>
          <cell r="BA265">
            <v>0</v>
          </cell>
          <cell r="BD265" t="str">
            <v/>
          </cell>
          <cell r="BE265">
            <v>1</v>
          </cell>
          <cell r="BG265" t="str">
            <v>1100</v>
          </cell>
        </row>
        <row r="266">
          <cell r="B266" t="str">
            <v>G032090106100700</v>
          </cell>
          <cell r="C266" t="str">
            <v>03.岩手県</v>
          </cell>
          <cell r="D266" t="str">
            <v>209</v>
          </cell>
          <cell r="E266" t="str">
            <v>一関市</v>
          </cell>
          <cell r="F266" t="str">
            <v>01</v>
          </cell>
          <cell r="G266" t="str">
            <v>公共 単独</v>
          </cell>
          <cell r="H266" t="str">
            <v>公共下水道</v>
          </cell>
          <cell r="I266" t="str">
            <v>単独</v>
          </cell>
          <cell r="J266" t="str">
            <v>007</v>
          </cell>
          <cell r="K266" t="str">
            <v>千厩浄化センター</v>
          </cell>
          <cell r="M266" t="str">
            <v>1</v>
          </cell>
          <cell r="Q266">
            <v>40694</v>
          </cell>
          <cell r="R266" t="str">
            <v>平成</v>
          </cell>
          <cell r="S266">
            <v>23</v>
          </cell>
          <cell r="T266">
            <v>5</v>
          </cell>
          <cell r="AB266">
            <v>14000</v>
          </cell>
          <cell r="AC266" t="str">
            <v>千厩川</v>
          </cell>
          <cell r="AD266" t="str">
            <v>Ｃ</v>
          </cell>
          <cell r="AE266" t="str">
            <v>ロ</v>
          </cell>
          <cell r="AF266">
            <v>15</v>
          </cell>
          <cell r="AK266" t="str">
            <v>千厩川</v>
          </cell>
          <cell r="AP266" t="str">
            <v>標記を千厩（旧：千）に変更</v>
          </cell>
          <cell r="AQ266" t="str">
            <v/>
          </cell>
          <cell r="AR266" t="str">
            <v>オキシディションディッチ法</v>
          </cell>
          <cell r="AS266" t="str">
            <v>0320901007</v>
          </cell>
          <cell r="AT266" t="str">
            <v/>
          </cell>
          <cell r="AU266" t="str">
            <v>00</v>
          </cell>
          <cell r="AV266" t="str">
            <v>00</v>
          </cell>
          <cell r="AW266">
            <v>0</v>
          </cell>
          <cell r="AX266">
            <v>0</v>
          </cell>
          <cell r="AY266">
            <v>0</v>
          </cell>
          <cell r="AZ266">
            <v>0</v>
          </cell>
          <cell r="BA266">
            <v>0</v>
          </cell>
          <cell r="BB266" t="str">
            <v>脱水休止</v>
          </cell>
          <cell r="BD266" t="str">
            <v>脱水休止</v>
          </cell>
          <cell r="BE266">
            <v>1</v>
          </cell>
          <cell r="BG266" t="str">
            <v>1000</v>
          </cell>
        </row>
        <row r="267">
          <cell r="B267" t="str">
            <v>G032100106100100</v>
          </cell>
          <cell r="C267" t="str">
            <v>03.岩手県</v>
          </cell>
          <cell r="D267" t="str">
            <v>210</v>
          </cell>
          <cell r="E267" t="str">
            <v>陸前高田市</v>
          </cell>
          <cell r="F267" t="str">
            <v>01</v>
          </cell>
          <cell r="G267" t="str">
            <v>公共 単独</v>
          </cell>
          <cell r="H267" t="str">
            <v>公共下水道</v>
          </cell>
          <cell r="I267" t="str">
            <v>単独</v>
          </cell>
          <cell r="J267" t="str">
            <v>001</v>
          </cell>
          <cell r="K267" t="str">
            <v>陸前高田浄化センター</v>
          </cell>
          <cell r="M267" t="str">
            <v>1</v>
          </cell>
          <cell r="N267" t="str">
            <v>1</v>
          </cell>
          <cell r="Q267">
            <v>36251</v>
          </cell>
          <cell r="R267" t="str">
            <v>平成</v>
          </cell>
          <cell r="S267">
            <v>11</v>
          </cell>
          <cell r="T267">
            <v>4</v>
          </cell>
          <cell r="U267" t="str">
            <v>休止</v>
          </cell>
          <cell r="V267">
            <v>40613</v>
          </cell>
          <cell r="W267" t="str">
            <v>平成</v>
          </cell>
          <cell r="X267">
            <v>23</v>
          </cell>
          <cell r="Y267">
            <v>3</v>
          </cell>
          <cell r="Z267" t="str">
            <v>応急対応</v>
          </cell>
          <cell r="AQ267" t="str">
            <v>休止</v>
          </cell>
          <cell r="AR267" t="str">
            <v/>
          </cell>
          <cell r="AS267" t="str">
            <v>0321001001</v>
          </cell>
          <cell r="AT267" t="str">
            <v/>
          </cell>
          <cell r="AU267" t="str">
            <v>10</v>
          </cell>
          <cell r="AV267" t="str">
            <v>10</v>
          </cell>
          <cell r="AW267">
            <v>0</v>
          </cell>
          <cell r="AX267">
            <v>0</v>
          </cell>
          <cell r="AY267">
            <v>0</v>
          </cell>
          <cell r="AZ267">
            <v>0</v>
          </cell>
          <cell r="BA267">
            <v>0</v>
          </cell>
          <cell r="BD267" t="str">
            <v/>
          </cell>
          <cell r="BE267">
            <v>1</v>
          </cell>
          <cell r="BG267">
            <v>5555</v>
          </cell>
        </row>
        <row r="268">
          <cell r="B268" t="str">
            <v>G032110106100100</v>
          </cell>
          <cell r="C268" t="str">
            <v>03.岩手県</v>
          </cell>
          <cell r="D268" t="str">
            <v>211</v>
          </cell>
          <cell r="E268" t="str">
            <v>釜石市</v>
          </cell>
          <cell r="F268" t="str">
            <v>01</v>
          </cell>
          <cell r="G268" t="str">
            <v>公共 単独</v>
          </cell>
          <cell r="H268" t="str">
            <v>公共下水道</v>
          </cell>
          <cell r="I268" t="str">
            <v>単独</v>
          </cell>
          <cell r="J268" t="str">
            <v>001</v>
          </cell>
          <cell r="K268" t="str">
            <v>大平下水処理場</v>
          </cell>
          <cell r="M268" t="str">
            <v>1</v>
          </cell>
          <cell r="N268" t="str">
            <v>1</v>
          </cell>
          <cell r="Q268">
            <v>28825</v>
          </cell>
          <cell r="R268" t="str">
            <v>昭和</v>
          </cell>
          <cell r="S268">
            <v>53</v>
          </cell>
          <cell r="T268">
            <v>12</v>
          </cell>
          <cell r="U268" t="str">
            <v>休止</v>
          </cell>
          <cell r="V268">
            <v>40613</v>
          </cell>
          <cell r="W268" t="str">
            <v>平成</v>
          </cell>
          <cell r="X268">
            <v>23</v>
          </cell>
          <cell r="Y268">
            <v>3</v>
          </cell>
          <cell r="Z268" t="str">
            <v>応急対応</v>
          </cell>
          <cell r="AB268">
            <v>19630</v>
          </cell>
          <cell r="AC268" t="str">
            <v>釜石湾</v>
          </cell>
          <cell r="AD268" t="str">
            <v>Ａ</v>
          </cell>
          <cell r="AF268">
            <v>15</v>
          </cell>
          <cell r="AI268" t="str">
            <v>釜石湾</v>
          </cell>
          <cell r="AL268" t="str">
            <v>新町水源井</v>
          </cell>
          <cell r="AM268">
            <v>5</v>
          </cell>
          <cell r="AO268" t="str">
            <v>釜石市</v>
          </cell>
          <cell r="AQ268" t="str">
            <v>休止</v>
          </cell>
          <cell r="AR268" t="str">
            <v/>
          </cell>
          <cell r="AS268" t="str">
            <v>0321101001</v>
          </cell>
          <cell r="AT268" t="str">
            <v/>
          </cell>
          <cell r="AU268" t="str">
            <v>10</v>
          </cell>
          <cell r="AV268" t="str">
            <v>10</v>
          </cell>
          <cell r="AW268">
            <v>0</v>
          </cell>
          <cell r="AX268">
            <v>0</v>
          </cell>
          <cell r="AY268">
            <v>0</v>
          </cell>
          <cell r="AZ268">
            <v>0</v>
          </cell>
          <cell r="BA268">
            <v>0</v>
          </cell>
          <cell r="BD268" t="str">
            <v/>
          </cell>
          <cell r="BE268">
            <v>1</v>
          </cell>
          <cell r="BG268">
            <v>5555</v>
          </cell>
        </row>
        <row r="269">
          <cell r="B269" t="str">
            <v>G032110106100200</v>
          </cell>
          <cell r="C269" t="str">
            <v>03.岩手県</v>
          </cell>
          <cell r="D269" t="str">
            <v>211</v>
          </cell>
          <cell r="E269" t="str">
            <v>釜石市</v>
          </cell>
          <cell r="F269" t="str">
            <v>01</v>
          </cell>
          <cell r="G269" t="str">
            <v>公共 単独</v>
          </cell>
          <cell r="H269" t="str">
            <v>公共下水道</v>
          </cell>
          <cell r="I269" t="str">
            <v>単独</v>
          </cell>
          <cell r="J269" t="str">
            <v>002</v>
          </cell>
          <cell r="K269" t="str">
            <v>上平田下水処理場</v>
          </cell>
          <cell r="M269" t="str">
            <v>1</v>
          </cell>
          <cell r="N269" t="str">
            <v>1</v>
          </cell>
          <cell r="Q269">
            <v>29312</v>
          </cell>
          <cell r="R269" t="str">
            <v>昭和</v>
          </cell>
          <cell r="S269">
            <v>55</v>
          </cell>
          <cell r="T269">
            <v>4</v>
          </cell>
          <cell r="AB269">
            <v>3340</v>
          </cell>
          <cell r="AC269" t="str">
            <v>設定なし</v>
          </cell>
          <cell r="AF269">
            <v>15</v>
          </cell>
          <cell r="AI269" t="str">
            <v>上平田川</v>
          </cell>
          <cell r="AL269" t="str">
            <v>平田水源井</v>
          </cell>
          <cell r="AN269">
            <v>1</v>
          </cell>
          <cell r="AO269" t="str">
            <v>釜石市</v>
          </cell>
          <cell r="AQ269" t="str">
            <v/>
          </cell>
          <cell r="AR269" t="str">
            <v>標準活性汚泥法</v>
          </cell>
          <cell r="AS269" t="str">
            <v>0321101002</v>
          </cell>
          <cell r="AT269" t="str">
            <v/>
          </cell>
          <cell r="AU269" t="str">
            <v>10</v>
          </cell>
          <cell r="AV269" t="str">
            <v>10</v>
          </cell>
          <cell r="AW269">
            <v>0</v>
          </cell>
          <cell r="AX269">
            <v>0</v>
          </cell>
          <cell r="AY269">
            <v>0</v>
          </cell>
          <cell r="AZ269">
            <v>0</v>
          </cell>
          <cell r="BA269">
            <v>0</v>
          </cell>
          <cell r="BD269" t="str">
            <v/>
          </cell>
          <cell r="BE269">
            <v>1</v>
          </cell>
          <cell r="BG269" t="str">
            <v>1100</v>
          </cell>
        </row>
        <row r="270">
          <cell r="B270" t="str">
            <v>G032130106100100</v>
          </cell>
          <cell r="C270" t="str">
            <v>03.岩手県</v>
          </cell>
          <cell r="D270" t="str">
            <v>213</v>
          </cell>
          <cell r="E270" t="str">
            <v>二戸市</v>
          </cell>
          <cell r="F270" t="str">
            <v>01</v>
          </cell>
          <cell r="G270" t="str">
            <v>公共 単独</v>
          </cell>
          <cell r="H270" t="str">
            <v>公共下水道</v>
          </cell>
          <cell r="I270" t="str">
            <v>単独</v>
          </cell>
          <cell r="J270" t="str">
            <v>001</v>
          </cell>
          <cell r="K270" t="str">
            <v>中曽根浄化センター</v>
          </cell>
          <cell r="M270" t="str">
            <v>1</v>
          </cell>
          <cell r="N270" t="str">
            <v>1</v>
          </cell>
          <cell r="Q270">
            <v>35886</v>
          </cell>
          <cell r="R270" t="str">
            <v>平成</v>
          </cell>
          <cell r="S270">
            <v>10</v>
          </cell>
          <cell r="T270">
            <v>4</v>
          </cell>
          <cell r="U270" t="str">
            <v>廃止</v>
          </cell>
          <cell r="V270">
            <v>40999</v>
          </cell>
          <cell r="W270" t="str">
            <v>平成</v>
          </cell>
          <cell r="X270">
            <v>24</v>
          </cell>
          <cell r="Y270">
            <v>3</v>
          </cell>
          <cell r="AB270">
            <v>2200</v>
          </cell>
          <cell r="AC270" t="str">
            <v>新井田川河口水域馬淵川上流</v>
          </cell>
          <cell r="AD270" t="str">
            <v>Ａ</v>
          </cell>
          <cell r="AE270" t="str">
            <v>イ</v>
          </cell>
          <cell r="AF270">
            <v>15</v>
          </cell>
          <cell r="AK270" t="str">
            <v>馬淵川</v>
          </cell>
          <cell r="AL270" t="str">
            <v>第２取水口（堀野浄水場）</v>
          </cell>
          <cell r="AN270">
            <v>2.5</v>
          </cell>
          <cell r="AO270" t="str">
            <v>二戸市</v>
          </cell>
          <cell r="AQ270" t="str">
            <v>廃止</v>
          </cell>
          <cell r="AR270" t="str">
            <v/>
          </cell>
          <cell r="AS270" t="str">
            <v>0321301001</v>
          </cell>
          <cell r="AT270">
            <v>1</v>
          </cell>
          <cell r="AU270" t="str">
            <v>10</v>
          </cell>
          <cell r="AV270" t="str">
            <v>00</v>
          </cell>
          <cell r="AW270">
            <v>0</v>
          </cell>
          <cell r="AX270">
            <v>-1</v>
          </cell>
          <cell r="AY270">
            <v>0</v>
          </cell>
          <cell r="AZ270">
            <v>0</v>
          </cell>
          <cell r="BA270">
            <v>1</v>
          </cell>
          <cell r="BB270" t="str">
            <v>場廃止</v>
          </cell>
          <cell r="BD270" t="str">
            <v>場廃止</v>
          </cell>
          <cell r="BE270">
            <v>0</v>
          </cell>
          <cell r="BG270">
            <v>9999</v>
          </cell>
        </row>
        <row r="271">
          <cell r="B271" t="str">
            <v>G032130106100200</v>
          </cell>
          <cell r="C271" t="str">
            <v>03.岩手県</v>
          </cell>
          <cell r="D271" t="str">
            <v>213</v>
          </cell>
          <cell r="E271" t="str">
            <v>二戸市</v>
          </cell>
          <cell r="F271" t="str">
            <v>01</v>
          </cell>
          <cell r="G271" t="str">
            <v>公共 単独</v>
          </cell>
          <cell r="H271" t="str">
            <v>公共下水道</v>
          </cell>
          <cell r="I271" t="str">
            <v>単独</v>
          </cell>
          <cell r="J271" t="str">
            <v>002</v>
          </cell>
          <cell r="K271" t="str">
            <v>二戸浄化センター</v>
          </cell>
          <cell r="M271" t="str">
            <v>1</v>
          </cell>
          <cell r="N271" t="str">
            <v>1</v>
          </cell>
          <cell r="Q271">
            <v>36526</v>
          </cell>
          <cell r="R271" t="str">
            <v>平成</v>
          </cell>
          <cell r="S271">
            <v>12</v>
          </cell>
          <cell r="T271">
            <v>1</v>
          </cell>
          <cell r="AB271">
            <v>46600</v>
          </cell>
          <cell r="AC271" t="str">
            <v>新井田川水域馬淵川上流</v>
          </cell>
          <cell r="AD271" t="str">
            <v>Ａ</v>
          </cell>
          <cell r="AE271" t="str">
            <v>イ</v>
          </cell>
          <cell r="AF271">
            <v>15</v>
          </cell>
          <cell r="AK271" t="str">
            <v>馬淵川</v>
          </cell>
          <cell r="AL271" t="str">
            <v>第１取水口（二戸浄水場）</v>
          </cell>
          <cell r="AM271">
            <v>1</v>
          </cell>
          <cell r="AO271" t="str">
            <v>二戸市</v>
          </cell>
          <cell r="AQ271" t="str">
            <v/>
          </cell>
          <cell r="AR271" t="str">
            <v>オキシディションディッチ法</v>
          </cell>
          <cell r="AS271" t="str">
            <v>0321301002</v>
          </cell>
          <cell r="AT271" t="str">
            <v/>
          </cell>
          <cell r="AU271" t="str">
            <v>10</v>
          </cell>
          <cell r="AV271" t="str">
            <v>10</v>
          </cell>
          <cell r="AW271">
            <v>0</v>
          </cell>
          <cell r="AX271">
            <v>0</v>
          </cell>
          <cell r="AY271">
            <v>0</v>
          </cell>
          <cell r="AZ271">
            <v>0</v>
          </cell>
          <cell r="BA271">
            <v>0</v>
          </cell>
          <cell r="BD271" t="str">
            <v/>
          </cell>
          <cell r="BE271">
            <v>1</v>
          </cell>
          <cell r="BG271" t="str">
            <v>1100</v>
          </cell>
        </row>
        <row r="272">
          <cell r="B272" t="str">
            <v>G032130206100300</v>
          </cell>
          <cell r="C272" t="str">
            <v>03.岩手県</v>
          </cell>
          <cell r="D272" t="str">
            <v>213</v>
          </cell>
          <cell r="E272" t="str">
            <v>二戸市</v>
          </cell>
          <cell r="F272" t="str">
            <v>02</v>
          </cell>
          <cell r="G272" t="str">
            <v>特環 単独</v>
          </cell>
          <cell r="H272" t="str">
            <v>特定環境保全公共下水道</v>
          </cell>
          <cell r="I272" t="str">
            <v>単独</v>
          </cell>
          <cell r="J272" t="str">
            <v>003</v>
          </cell>
          <cell r="K272" t="str">
            <v>浄法浄化センター</v>
          </cell>
          <cell r="M272" t="str">
            <v>1</v>
          </cell>
          <cell r="Q272">
            <v>40269</v>
          </cell>
          <cell r="R272" t="str">
            <v>平成</v>
          </cell>
          <cell r="S272">
            <v>22</v>
          </cell>
          <cell r="T272">
            <v>4</v>
          </cell>
          <cell r="AB272">
            <v>1443</v>
          </cell>
          <cell r="AC272" t="str">
            <v>新井田川河口水域馬淵川上流</v>
          </cell>
          <cell r="AD272" t="str">
            <v>Ａ</v>
          </cell>
          <cell r="AE272" t="str">
            <v>イ</v>
          </cell>
          <cell r="AF272">
            <v>15</v>
          </cell>
          <cell r="AI272" t="str">
            <v>宮沢川</v>
          </cell>
          <cell r="AL272" t="str">
            <v>第２取水口（堀野浄水場）</v>
          </cell>
          <cell r="AN272">
            <v>17</v>
          </cell>
          <cell r="AO272" t="str">
            <v>二戸市</v>
          </cell>
          <cell r="AQ272" t="str">
            <v/>
          </cell>
          <cell r="AR272" t="str">
            <v>その他処理方法</v>
          </cell>
          <cell r="AS272" t="str">
            <v>0321302003</v>
          </cell>
          <cell r="AT272">
            <v>1</v>
          </cell>
          <cell r="AU272" t="str">
            <v>00</v>
          </cell>
          <cell r="AV272" t="str">
            <v>00</v>
          </cell>
          <cell r="AW272">
            <v>0</v>
          </cell>
          <cell r="AX272">
            <v>0</v>
          </cell>
          <cell r="AY272">
            <v>0</v>
          </cell>
          <cell r="AZ272">
            <v>0</v>
          </cell>
          <cell r="BA272">
            <v>0</v>
          </cell>
          <cell r="BD272" t="str">
            <v/>
          </cell>
          <cell r="BE272">
            <v>1</v>
          </cell>
          <cell r="BG272" t="str">
            <v>1000</v>
          </cell>
        </row>
        <row r="273">
          <cell r="B273" t="str">
            <v>G032140106100100</v>
          </cell>
          <cell r="C273" t="str">
            <v>03.岩手県</v>
          </cell>
          <cell r="D273" t="str">
            <v>214</v>
          </cell>
          <cell r="E273" t="str">
            <v>八幡平市</v>
          </cell>
          <cell r="F273" t="str">
            <v>01</v>
          </cell>
          <cell r="G273" t="str">
            <v>公共 単独</v>
          </cell>
          <cell r="H273" t="str">
            <v>公共下水道</v>
          </cell>
          <cell r="I273" t="str">
            <v>単独</v>
          </cell>
          <cell r="J273" t="str">
            <v>001</v>
          </cell>
          <cell r="K273" t="str">
            <v>西根浄化センター</v>
          </cell>
          <cell r="M273" t="str">
            <v>1</v>
          </cell>
          <cell r="N273" t="str">
            <v>1</v>
          </cell>
          <cell r="Q273">
            <v>38078</v>
          </cell>
          <cell r="R273" t="str">
            <v>平成</v>
          </cell>
          <cell r="S273">
            <v>16</v>
          </cell>
          <cell r="T273">
            <v>4</v>
          </cell>
          <cell r="AB273">
            <v>26400</v>
          </cell>
          <cell r="AC273" t="str">
            <v>設定なし</v>
          </cell>
          <cell r="AF273">
            <v>15</v>
          </cell>
          <cell r="AK273" t="str">
            <v>松川</v>
          </cell>
          <cell r="AL273" t="str">
            <v>北上川取水口</v>
          </cell>
          <cell r="AN273">
            <v>60</v>
          </cell>
          <cell r="AO273" t="str">
            <v>花巻市</v>
          </cell>
          <cell r="AQ273" t="str">
            <v/>
          </cell>
          <cell r="AR273" t="str">
            <v>オキシディションディッチ法</v>
          </cell>
          <cell r="AS273" t="str">
            <v>0321401001</v>
          </cell>
          <cell r="AT273" t="str">
            <v/>
          </cell>
          <cell r="AU273" t="str">
            <v>10</v>
          </cell>
          <cell r="AV273" t="str">
            <v>10</v>
          </cell>
          <cell r="AW273">
            <v>0</v>
          </cell>
          <cell r="AX273">
            <v>0</v>
          </cell>
          <cell r="AY273">
            <v>0</v>
          </cell>
          <cell r="AZ273">
            <v>0</v>
          </cell>
          <cell r="BA273">
            <v>0</v>
          </cell>
          <cell r="BD273" t="str">
            <v/>
          </cell>
          <cell r="BE273">
            <v>1</v>
          </cell>
          <cell r="BG273" t="str">
            <v>1100</v>
          </cell>
        </row>
        <row r="274">
          <cell r="B274" t="str">
            <v>G032140206100200</v>
          </cell>
          <cell r="C274" t="str">
            <v>03.岩手県</v>
          </cell>
          <cell r="D274" t="str">
            <v>214</v>
          </cell>
          <cell r="E274" t="str">
            <v>八幡平市</v>
          </cell>
          <cell r="F274" t="str">
            <v>02</v>
          </cell>
          <cell r="G274" t="str">
            <v>特環 単独</v>
          </cell>
          <cell r="H274" t="str">
            <v>特定環境保全公共下水道</v>
          </cell>
          <cell r="I274" t="str">
            <v>単独</v>
          </cell>
          <cell r="J274" t="str">
            <v>002</v>
          </cell>
          <cell r="K274" t="str">
            <v>安代浄化センター</v>
          </cell>
          <cell r="M274" t="str">
            <v>1</v>
          </cell>
          <cell r="N274" t="str">
            <v>1</v>
          </cell>
          <cell r="Q274">
            <v>39172</v>
          </cell>
          <cell r="R274" t="str">
            <v>平成</v>
          </cell>
          <cell r="S274">
            <v>19</v>
          </cell>
          <cell r="T274">
            <v>3</v>
          </cell>
          <cell r="AB274">
            <v>6265</v>
          </cell>
          <cell r="AC274" t="str">
            <v>設定なし</v>
          </cell>
          <cell r="AF274">
            <v>15</v>
          </cell>
          <cell r="AK274" t="str">
            <v>打田内川</v>
          </cell>
          <cell r="AQ274" t="str">
            <v/>
          </cell>
          <cell r="AR274" t="str">
            <v>オキシディションディッチ法</v>
          </cell>
          <cell r="AS274" t="str">
            <v>0321402002</v>
          </cell>
          <cell r="AT274" t="str">
            <v/>
          </cell>
          <cell r="AU274" t="str">
            <v>10</v>
          </cell>
          <cell r="AV274" t="str">
            <v>10</v>
          </cell>
          <cell r="AW274">
            <v>0</v>
          </cell>
          <cell r="AX274">
            <v>0</v>
          </cell>
          <cell r="AY274">
            <v>0</v>
          </cell>
          <cell r="AZ274">
            <v>0</v>
          </cell>
          <cell r="BA274">
            <v>0</v>
          </cell>
          <cell r="BD274" t="str">
            <v/>
          </cell>
          <cell r="BE274">
            <v>1</v>
          </cell>
          <cell r="BG274" t="str">
            <v>1100</v>
          </cell>
        </row>
        <row r="275">
          <cell r="B275" t="str">
            <v>G032150106100100</v>
          </cell>
          <cell r="C275" t="str">
            <v>03.岩手県</v>
          </cell>
          <cell r="D275" t="str">
            <v>215</v>
          </cell>
          <cell r="E275" t="str">
            <v>奥州市</v>
          </cell>
          <cell r="F275" t="str">
            <v>01</v>
          </cell>
          <cell r="G275" t="str">
            <v>公共 単独</v>
          </cell>
          <cell r="H275" t="str">
            <v>公共下水道</v>
          </cell>
          <cell r="I275" t="str">
            <v>単独</v>
          </cell>
          <cell r="J275" t="str">
            <v>001</v>
          </cell>
          <cell r="K275" t="str">
            <v>前沢浄化センター</v>
          </cell>
          <cell r="M275" t="str">
            <v>1</v>
          </cell>
          <cell r="N275" t="str">
            <v>1</v>
          </cell>
          <cell r="Q275">
            <v>36069</v>
          </cell>
          <cell r="R275" t="str">
            <v>平成</v>
          </cell>
          <cell r="S275">
            <v>10</v>
          </cell>
          <cell r="T275">
            <v>10</v>
          </cell>
          <cell r="AB275">
            <v>19700</v>
          </cell>
          <cell r="AC275" t="str">
            <v>北上川</v>
          </cell>
          <cell r="AD275" t="str">
            <v>Ａ</v>
          </cell>
          <cell r="AE275" t="str">
            <v>イ</v>
          </cell>
          <cell r="AF275">
            <v>15</v>
          </cell>
          <cell r="AI275" t="str">
            <v>道場川</v>
          </cell>
          <cell r="AK275" t="str">
            <v>北上川</v>
          </cell>
          <cell r="AQ275" t="str">
            <v/>
          </cell>
          <cell r="AR275" t="str">
            <v>オキシディションディッチ法</v>
          </cell>
          <cell r="AS275" t="str">
            <v>0321501001</v>
          </cell>
          <cell r="AT275" t="str">
            <v/>
          </cell>
          <cell r="AU275" t="str">
            <v>10</v>
          </cell>
          <cell r="AV275" t="str">
            <v>10</v>
          </cell>
          <cell r="AW275">
            <v>0</v>
          </cell>
          <cell r="AX275">
            <v>0</v>
          </cell>
          <cell r="AY275">
            <v>0</v>
          </cell>
          <cell r="AZ275">
            <v>0</v>
          </cell>
          <cell r="BA275">
            <v>0</v>
          </cell>
          <cell r="BD275" t="str">
            <v/>
          </cell>
          <cell r="BE275">
            <v>1</v>
          </cell>
          <cell r="BG275" t="str">
            <v>1100</v>
          </cell>
        </row>
        <row r="276">
          <cell r="B276" t="str">
            <v>G033030106100100</v>
          </cell>
          <cell r="C276" t="str">
            <v>03.岩手県</v>
          </cell>
          <cell r="D276" t="str">
            <v>303</v>
          </cell>
          <cell r="E276" t="str">
            <v>岩手町</v>
          </cell>
          <cell r="F276" t="str">
            <v>01</v>
          </cell>
          <cell r="G276" t="str">
            <v>公共 単独</v>
          </cell>
          <cell r="H276" t="str">
            <v>公共下水道</v>
          </cell>
          <cell r="I276" t="str">
            <v>単独</v>
          </cell>
          <cell r="J276" t="str">
            <v>001</v>
          </cell>
          <cell r="K276" t="str">
            <v>岩手町浄化センター</v>
          </cell>
          <cell r="M276" t="str">
            <v>1</v>
          </cell>
          <cell r="N276" t="str">
            <v>1</v>
          </cell>
          <cell r="Q276">
            <v>37347</v>
          </cell>
          <cell r="R276" t="str">
            <v>平成</v>
          </cell>
          <cell r="S276">
            <v>14</v>
          </cell>
          <cell r="T276">
            <v>4</v>
          </cell>
          <cell r="AB276">
            <v>17800</v>
          </cell>
          <cell r="AC276" t="str">
            <v>北上川（松川合流点上流）</v>
          </cell>
          <cell r="AD276" t="str">
            <v>ＡＡ</v>
          </cell>
          <cell r="AE276" t="str">
            <v>イ</v>
          </cell>
          <cell r="AF276">
            <v>15</v>
          </cell>
          <cell r="AK276" t="str">
            <v>北上川</v>
          </cell>
          <cell r="AL276" t="str">
            <v>子抱浄水場</v>
          </cell>
          <cell r="AM276">
            <v>1</v>
          </cell>
          <cell r="AO276" t="str">
            <v>岩手町</v>
          </cell>
          <cell r="AQ276" t="str">
            <v/>
          </cell>
          <cell r="AR276" t="str">
            <v>オキシディションディッチ法</v>
          </cell>
          <cell r="AS276" t="str">
            <v>0330301001</v>
          </cell>
          <cell r="AT276" t="str">
            <v/>
          </cell>
          <cell r="AU276" t="str">
            <v>10</v>
          </cell>
          <cell r="AV276" t="str">
            <v>10</v>
          </cell>
          <cell r="AW276">
            <v>0</v>
          </cell>
          <cell r="AX276">
            <v>0</v>
          </cell>
          <cell r="AY276">
            <v>0</v>
          </cell>
          <cell r="AZ276">
            <v>0</v>
          </cell>
          <cell r="BA276">
            <v>0</v>
          </cell>
          <cell r="BD276" t="str">
            <v/>
          </cell>
          <cell r="BE276">
            <v>1</v>
          </cell>
          <cell r="BG276" t="str">
            <v>1100</v>
          </cell>
        </row>
        <row r="277">
          <cell r="B277" t="str">
            <v>G033210106100100</v>
          </cell>
          <cell r="C277" t="str">
            <v>03.岩手県</v>
          </cell>
          <cell r="D277" t="str">
            <v>321</v>
          </cell>
          <cell r="E277" t="str">
            <v>紫波町</v>
          </cell>
          <cell r="F277" t="str">
            <v>01</v>
          </cell>
          <cell r="G277" t="str">
            <v>公共 単独</v>
          </cell>
          <cell r="H277" t="str">
            <v>公共下水道</v>
          </cell>
          <cell r="I277" t="str">
            <v>単独</v>
          </cell>
          <cell r="J277" t="str">
            <v>001</v>
          </cell>
          <cell r="K277" t="str">
            <v>紫波浄化センター</v>
          </cell>
          <cell r="M277" t="str">
            <v>1</v>
          </cell>
          <cell r="N277" t="str">
            <v>1</v>
          </cell>
          <cell r="Q277">
            <v>31686</v>
          </cell>
          <cell r="R277" t="str">
            <v>昭和</v>
          </cell>
          <cell r="S277">
            <v>61</v>
          </cell>
          <cell r="T277">
            <v>10</v>
          </cell>
          <cell r="AB277">
            <v>20000</v>
          </cell>
          <cell r="AC277" t="str">
            <v>北上川</v>
          </cell>
          <cell r="AD277" t="str">
            <v>Ａ</v>
          </cell>
          <cell r="AE277" t="str">
            <v>ロ</v>
          </cell>
          <cell r="AF277">
            <v>15</v>
          </cell>
          <cell r="AI277" t="str">
            <v>山吹川</v>
          </cell>
          <cell r="AL277" t="str">
            <v>新堀</v>
          </cell>
          <cell r="AN277">
            <v>2.7</v>
          </cell>
          <cell r="AO277" t="str">
            <v>花巻市</v>
          </cell>
          <cell r="AQ277" t="str">
            <v/>
          </cell>
          <cell r="AR277" t="str">
            <v>標準活性汚泥法</v>
          </cell>
          <cell r="AS277" t="str">
            <v>0332101001</v>
          </cell>
          <cell r="AT277" t="str">
            <v/>
          </cell>
          <cell r="AU277" t="str">
            <v>10</v>
          </cell>
          <cell r="AV277" t="str">
            <v>10</v>
          </cell>
          <cell r="AW277">
            <v>0</v>
          </cell>
          <cell r="AX277">
            <v>0</v>
          </cell>
          <cell r="AY277">
            <v>0</v>
          </cell>
          <cell r="AZ277">
            <v>0</v>
          </cell>
          <cell r="BA277">
            <v>0</v>
          </cell>
          <cell r="BD277" t="str">
            <v/>
          </cell>
          <cell r="BE277">
            <v>1</v>
          </cell>
          <cell r="BG277" t="str">
            <v>1100</v>
          </cell>
        </row>
        <row r="278">
          <cell r="B278" t="str">
            <v>G033660206100100</v>
          </cell>
          <cell r="C278" t="str">
            <v>03.岩手県</v>
          </cell>
          <cell r="D278" t="str">
            <v>366</v>
          </cell>
          <cell r="E278" t="str">
            <v>西和賀町</v>
          </cell>
          <cell r="F278" t="str">
            <v>02</v>
          </cell>
          <cell r="G278" t="str">
            <v>特環 単独</v>
          </cell>
          <cell r="H278" t="str">
            <v>特定環境保全公共下水道</v>
          </cell>
          <cell r="I278" t="str">
            <v>単独</v>
          </cell>
          <cell r="J278" t="str">
            <v>001</v>
          </cell>
          <cell r="K278" t="str">
            <v>湯田浄化センター</v>
          </cell>
          <cell r="M278" t="str">
            <v>1</v>
          </cell>
          <cell r="N278" t="str">
            <v>1</v>
          </cell>
          <cell r="Q278">
            <v>37712</v>
          </cell>
          <cell r="R278" t="str">
            <v>平成</v>
          </cell>
          <cell r="S278">
            <v>15</v>
          </cell>
          <cell r="T278">
            <v>4</v>
          </cell>
          <cell r="AB278">
            <v>5305</v>
          </cell>
          <cell r="AC278" t="str">
            <v>湯田ダム</v>
          </cell>
          <cell r="AD278" t="str">
            <v>Ａ</v>
          </cell>
          <cell r="AE278" t="str">
            <v>イ</v>
          </cell>
          <cell r="AF278">
            <v>15</v>
          </cell>
          <cell r="AH278">
            <v>3</v>
          </cell>
          <cell r="AI278" t="str">
            <v>赤石沢</v>
          </cell>
          <cell r="AK278" t="str">
            <v>和賀川</v>
          </cell>
          <cell r="AL278" t="str">
            <v>下前川取水口</v>
          </cell>
          <cell r="AM278">
            <v>5</v>
          </cell>
          <cell r="AQ278" t="str">
            <v/>
          </cell>
          <cell r="AR278" t="str">
            <v>長時間エアレーション法</v>
          </cell>
          <cell r="AS278" t="str">
            <v>0336602001</v>
          </cell>
          <cell r="AT278" t="str">
            <v/>
          </cell>
          <cell r="AU278" t="str">
            <v>10</v>
          </cell>
          <cell r="AV278" t="str">
            <v>10</v>
          </cell>
          <cell r="AW278">
            <v>0</v>
          </cell>
          <cell r="AX278">
            <v>0</v>
          </cell>
          <cell r="AY278">
            <v>0</v>
          </cell>
          <cell r="AZ278">
            <v>0</v>
          </cell>
          <cell r="BA278">
            <v>0</v>
          </cell>
          <cell r="BD278" t="str">
            <v/>
          </cell>
          <cell r="BE278">
            <v>1</v>
          </cell>
          <cell r="BG278" t="str">
            <v>1100</v>
          </cell>
        </row>
        <row r="279">
          <cell r="B279" t="str">
            <v>G033660206100200</v>
          </cell>
          <cell r="C279" t="str">
            <v>03.岩手県</v>
          </cell>
          <cell r="D279" t="str">
            <v>366</v>
          </cell>
          <cell r="E279" t="str">
            <v>西和賀町</v>
          </cell>
          <cell r="F279" t="str">
            <v>02</v>
          </cell>
          <cell r="G279" t="str">
            <v>特環 単独</v>
          </cell>
          <cell r="H279" t="str">
            <v>特定環境保全公共下水道</v>
          </cell>
          <cell r="I279" t="str">
            <v>単独</v>
          </cell>
          <cell r="J279" t="str">
            <v>002</v>
          </cell>
          <cell r="K279" t="str">
            <v>沢内浄化センター</v>
          </cell>
          <cell r="M279" t="str">
            <v>1</v>
          </cell>
          <cell r="N279" t="str">
            <v>1</v>
          </cell>
          <cell r="Q279">
            <v>37712</v>
          </cell>
          <cell r="R279" t="str">
            <v>平成</v>
          </cell>
          <cell r="S279">
            <v>15</v>
          </cell>
          <cell r="T279">
            <v>4</v>
          </cell>
          <cell r="AB279">
            <v>8000</v>
          </cell>
          <cell r="AC279" t="str">
            <v>和賀川</v>
          </cell>
          <cell r="AD279" t="str">
            <v>ＡＡ</v>
          </cell>
          <cell r="AE279" t="str">
            <v>イ</v>
          </cell>
          <cell r="AF279">
            <v>15</v>
          </cell>
          <cell r="AH279">
            <v>3</v>
          </cell>
          <cell r="AK279" t="str">
            <v>和賀川</v>
          </cell>
          <cell r="AL279" t="str">
            <v>下前川取水口</v>
          </cell>
          <cell r="AN279">
            <v>2</v>
          </cell>
          <cell r="AQ279" t="str">
            <v/>
          </cell>
          <cell r="AR279" t="str">
            <v>長時間エアレーション法</v>
          </cell>
          <cell r="AS279" t="str">
            <v>0336602002</v>
          </cell>
          <cell r="AT279" t="str">
            <v/>
          </cell>
          <cell r="AU279" t="str">
            <v>10</v>
          </cell>
          <cell r="AV279" t="str">
            <v>10</v>
          </cell>
          <cell r="AW279">
            <v>0</v>
          </cell>
          <cell r="AX279">
            <v>0</v>
          </cell>
          <cell r="AY279">
            <v>0</v>
          </cell>
          <cell r="AZ279">
            <v>0</v>
          </cell>
          <cell r="BA279">
            <v>0</v>
          </cell>
          <cell r="BD279" t="str">
            <v/>
          </cell>
          <cell r="BE279">
            <v>1</v>
          </cell>
          <cell r="BG279" t="str">
            <v>1100</v>
          </cell>
        </row>
        <row r="280">
          <cell r="B280" t="str">
            <v>G034410206100100</v>
          </cell>
          <cell r="C280" t="str">
            <v>03.岩手県</v>
          </cell>
          <cell r="D280" t="str">
            <v>441</v>
          </cell>
          <cell r="E280" t="str">
            <v>住田町</v>
          </cell>
          <cell r="F280" t="str">
            <v>02</v>
          </cell>
          <cell r="G280" t="str">
            <v>特環 単独</v>
          </cell>
          <cell r="H280" t="str">
            <v>特定環境保全公共下水道</v>
          </cell>
          <cell r="I280" t="str">
            <v>単独</v>
          </cell>
          <cell r="J280" t="str">
            <v>001</v>
          </cell>
          <cell r="K280" t="str">
            <v>世田米浄化センター</v>
          </cell>
          <cell r="M280" t="str">
            <v>1</v>
          </cell>
          <cell r="N280" t="str">
            <v>1</v>
          </cell>
          <cell r="Q280">
            <v>37712</v>
          </cell>
          <cell r="R280" t="str">
            <v>平成</v>
          </cell>
          <cell r="S280">
            <v>15</v>
          </cell>
          <cell r="T280">
            <v>4</v>
          </cell>
          <cell r="AB280">
            <v>7800</v>
          </cell>
          <cell r="AC280" t="str">
            <v>広田湾：海Ⅱ</v>
          </cell>
          <cell r="AD280" t="str">
            <v>Ａ</v>
          </cell>
          <cell r="AE280" t="str">
            <v>イ</v>
          </cell>
          <cell r="AF280">
            <v>15</v>
          </cell>
          <cell r="AJ280" t="str">
            <v>気仙川</v>
          </cell>
          <cell r="AQ280" t="str">
            <v/>
          </cell>
          <cell r="AR280" t="str">
            <v>オキシディションディッチ法</v>
          </cell>
          <cell r="AS280" t="str">
            <v>0344102001</v>
          </cell>
          <cell r="AT280" t="str">
            <v/>
          </cell>
          <cell r="AU280" t="str">
            <v>10</v>
          </cell>
          <cell r="AV280" t="str">
            <v>10</v>
          </cell>
          <cell r="AW280">
            <v>0</v>
          </cell>
          <cell r="AX280">
            <v>0</v>
          </cell>
          <cell r="AY280">
            <v>0</v>
          </cell>
          <cell r="AZ280">
            <v>0</v>
          </cell>
          <cell r="BA280">
            <v>0</v>
          </cell>
          <cell r="BD280" t="str">
            <v/>
          </cell>
          <cell r="BE280">
            <v>1</v>
          </cell>
          <cell r="BG280" t="str">
            <v>1100</v>
          </cell>
        </row>
        <row r="281">
          <cell r="B281" t="str">
            <v>G034610106100100</v>
          </cell>
          <cell r="C281" t="str">
            <v>03.岩手県</v>
          </cell>
          <cell r="D281" t="str">
            <v>461</v>
          </cell>
          <cell r="E281" t="str">
            <v>大槌町</v>
          </cell>
          <cell r="F281" t="str">
            <v>01</v>
          </cell>
          <cell r="G281" t="str">
            <v>公共 単独</v>
          </cell>
          <cell r="H281" t="str">
            <v>公共下水道</v>
          </cell>
          <cell r="I281" t="str">
            <v>単独</v>
          </cell>
          <cell r="J281" t="str">
            <v>001</v>
          </cell>
          <cell r="K281" t="str">
            <v>大槌浄化センター</v>
          </cell>
          <cell r="M281" t="str">
            <v>1</v>
          </cell>
          <cell r="N281" t="str">
            <v>1</v>
          </cell>
          <cell r="Q281">
            <v>36434</v>
          </cell>
          <cell r="R281" t="str">
            <v>平成</v>
          </cell>
          <cell r="S281">
            <v>11</v>
          </cell>
          <cell r="T281">
            <v>10</v>
          </cell>
          <cell r="V281">
            <v>41153</v>
          </cell>
          <cell r="W281" t="str">
            <v>平成</v>
          </cell>
          <cell r="X281">
            <v>24</v>
          </cell>
          <cell r="Y281">
            <v>9</v>
          </cell>
          <cell r="Z281" t="str">
            <v>災害復旧済み</v>
          </cell>
          <cell r="AB281">
            <v>35508</v>
          </cell>
          <cell r="AF281">
            <v>15</v>
          </cell>
          <cell r="AI281" t="str">
            <v>普通河川　生井沢川</v>
          </cell>
          <cell r="AJ281" t="str">
            <v>小鎚川</v>
          </cell>
          <cell r="AQ281" t="str">
            <v/>
          </cell>
          <cell r="AR281" t="str">
            <v>オキシディションディッチ法</v>
          </cell>
          <cell r="AS281" t="str">
            <v>0346101001</v>
          </cell>
          <cell r="AT281" t="str">
            <v/>
          </cell>
          <cell r="AU281" t="str">
            <v>10</v>
          </cell>
          <cell r="AV281" t="str">
            <v>10</v>
          </cell>
          <cell r="AW281">
            <v>0</v>
          </cell>
          <cell r="AX281">
            <v>0</v>
          </cell>
          <cell r="AY281">
            <v>0</v>
          </cell>
          <cell r="AZ281">
            <v>0</v>
          </cell>
          <cell r="BA281">
            <v>0</v>
          </cell>
          <cell r="BD281" t="str">
            <v/>
          </cell>
          <cell r="BE281">
            <v>1</v>
          </cell>
          <cell r="BG281" t="str">
            <v>1100</v>
          </cell>
        </row>
        <row r="282">
          <cell r="B282" t="str">
            <v>G034820106100100</v>
          </cell>
          <cell r="C282" t="str">
            <v>03.岩手県</v>
          </cell>
          <cell r="D282" t="str">
            <v>482</v>
          </cell>
          <cell r="E282" t="str">
            <v>山田町</v>
          </cell>
          <cell r="F282" t="str">
            <v>01</v>
          </cell>
          <cell r="G282" t="str">
            <v>公共 単独</v>
          </cell>
          <cell r="H282" t="str">
            <v>公共下水道</v>
          </cell>
          <cell r="I282" t="str">
            <v>単独</v>
          </cell>
          <cell r="J282" t="str">
            <v>001</v>
          </cell>
          <cell r="K282" t="str">
            <v>クリエイトピュアふなこし</v>
          </cell>
          <cell r="M282" t="str">
            <v>1</v>
          </cell>
          <cell r="Q282">
            <v>36739</v>
          </cell>
          <cell r="R282" t="str">
            <v>平成</v>
          </cell>
          <cell r="S282">
            <v>12</v>
          </cell>
          <cell r="T282">
            <v>8</v>
          </cell>
          <cell r="AB282">
            <v>3400</v>
          </cell>
          <cell r="AC282" t="str">
            <v>船越湾</v>
          </cell>
          <cell r="AD282" t="str">
            <v>Ａ</v>
          </cell>
          <cell r="AE282" t="str">
            <v>イ</v>
          </cell>
          <cell r="AF282">
            <v>15</v>
          </cell>
          <cell r="AI282" t="str">
            <v>湾</v>
          </cell>
          <cell r="AQ282" t="str">
            <v/>
          </cell>
          <cell r="AR282" t="str">
            <v>嫌気好気ろ床法</v>
          </cell>
          <cell r="AS282" t="str">
            <v>0348201001</v>
          </cell>
          <cell r="AT282">
            <v>1</v>
          </cell>
          <cell r="AU282" t="str">
            <v>00</v>
          </cell>
          <cell r="AV282" t="str">
            <v>00</v>
          </cell>
          <cell r="AW282">
            <v>0</v>
          </cell>
          <cell r="AX282">
            <v>0</v>
          </cell>
          <cell r="AY282">
            <v>0</v>
          </cell>
          <cell r="AZ282">
            <v>0</v>
          </cell>
          <cell r="BA282">
            <v>0</v>
          </cell>
          <cell r="BD282" t="str">
            <v/>
          </cell>
          <cell r="BE282">
            <v>1</v>
          </cell>
          <cell r="BG282" t="str">
            <v>1000</v>
          </cell>
        </row>
        <row r="283">
          <cell r="B283" t="str">
            <v>G034830106100100</v>
          </cell>
          <cell r="C283" t="str">
            <v>03.岩手県</v>
          </cell>
          <cell r="D283" t="str">
            <v>483</v>
          </cell>
          <cell r="E283" t="str">
            <v>岩泉町</v>
          </cell>
          <cell r="F283" t="str">
            <v>01</v>
          </cell>
          <cell r="G283" t="str">
            <v>公共 単独</v>
          </cell>
          <cell r="H283" t="str">
            <v>公共下水道</v>
          </cell>
          <cell r="I283" t="str">
            <v>単独</v>
          </cell>
          <cell r="J283" t="str">
            <v>001</v>
          </cell>
          <cell r="K283" t="str">
            <v>岩泉浄化センター</v>
          </cell>
          <cell r="M283" t="str">
            <v>1</v>
          </cell>
          <cell r="N283" t="str">
            <v>1</v>
          </cell>
          <cell r="Q283">
            <v>36312</v>
          </cell>
          <cell r="R283" t="str">
            <v>平成</v>
          </cell>
          <cell r="S283">
            <v>11</v>
          </cell>
          <cell r="T283">
            <v>6</v>
          </cell>
          <cell r="AB283">
            <v>16000</v>
          </cell>
          <cell r="AC283" t="str">
            <v>小本川</v>
          </cell>
          <cell r="AD283" t="str">
            <v>ＡＡ</v>
          </cell>
          <cell r="AE283" t="str">
            <v>イ</v>
          </cell>
          <cell r="AF283">
            <v>15</v>
          </cell>
          <cell r="AJ283" t="str">
            <v>小本川</v>
          </cell>
          <cell r="AQ283" t="str">
            <v/>
          </cell>
          <cell r="AR283" t="str">
            <v>オキシディションディッチ法</v>
          </cell>
          <cell r="AS283" t="str">
            <v>0348301001</v>
          </cell>
          <cell r="AT283" t="str">
            <v/>
          </cell>
          <cell r="AU283" t="str">
            <v>10</v>
          </cell>
          <cell r="AV283" t="str">
            <v>10</v>
          </cell>
          <cell r="AW283">
            <v>0</v>
          </cell>
          <cell r="AX283">
            <v>0</v>
          </cell>
          <cell r="AY283">
            <v>0</v>
          </cell>
          <cell r="AZ283">
            <v>0</v>
          </cell>
          <cell r="BA283">
            <v>0</v>
          </cell>
          <cell r="BD283" t="str">
            <v/>
          </cell>
          <cell r="BE283">
            <v>1</v>
          </cell>
          <cell r="BG283" t="str">
            <v>1100</v>
          </cell>
        </row>
        <row r="284">
          <cell r="B284" t="str">
            <v>G034840206100100</v>
          </cell>
          <cell r="C284" t="str">
            <v>03.岩手県</v>
          </cell>
          <cell r="D284" t="str">
            <v>484</v>
          </cell>
          <cell r="E284" t="str">
            <v>田野畑村</v>
          </cell>
          <cell r="F284" t="str">
            <v>02</v>
          </cell>
          <cell r="G284" t="str">
            <v>特環 単独</v>
          </cell>
          <cell r="H284" t="str">
            <v>特定環境保全公共下水道</v>
          </cell>
          <cell r="I284" t="str">
            <v>単独</v>
          </cell>
          <cell r="J284" t="str">
            <v>001</v>
          </cell>
          <cell r="K284" t="str">
            <v>田野畑浄化センター</v>
          </cell>
          <cell r="M284" t="str">
            <v>1</v>
          </cell>
          <cell r="N284" t="str">
            <v>1</v>
          </cell>
          <cell r="Q284">
            <v>39234</v>
          </cell>
          <cell r="R284" t="str">
            <v>平成</v>
          </cell>
          <cell r="S284">
            <v>19</v>
          </cell>
          <cell r="T284">
            <v>6</v>
          </cell>
          <cell r="AB284">
            <v>1850</v>
          </cell>
          <cell r="AF284">
            <v>15</v>
          </cell>
          <cell r="AI284" t="str">
            <v>準用河川　白旗川</v>
          </cell>
          <cell r="AQ284" t="str">
            <v/>
          </cell>
          <cell r="AR284" t="str">
            <v>オキシディションディッチ法</v>
          </cell>
          <cell r="AS284" t="str">
            <v>0348402001</v>
          </cell>
          <cell r="AT284" t="str">
            <v/>
          </cell>
          <cell r="AU284" t="str">
            <v>10</v>
          </cell>
          <cell r="AV284" t="str">
            <v>10</v>
          </cell>
          <cell r="AW284">
            <v>0</v>
          </cell>
          <cell r="AX284">
            <v>0</v>
          </cell>
          <cell r="AY284">
            <v>0</v>
          </cell>
          <cell r="AZ284">
            <v>0</v>
          </cell>
          <cell r="BA284">
            <v>0</v>
          </cell>
          <cell r="BD284" t="str">
            <v/>
          </cell>
          <cell r="BE284">
            <v>1</v>
          </cell>
          <cell r="BG284" t="str">
            <v>1100</v>
          </cell>
        </row>
        <row r="285">
          <cell r="B285" t="str">
            <v>G035010206100100</v>
          </cell>
          <cell r="C285" t="str">
            <v>03.岩手県</v>
          </cell>
          <cell r="D285" t="str">
            <v>501</v>
          </cell>
          <cell r="E285" t="str">
            <v>軽米町</v>
          </cell>
          <cell r="F285" t="str">
            <v>02</v>
          </cell>
          <cell r="G285" t="str">
            <v>特環 単独</v>
          </cell>
          <cell r="H285" t="str">
            <v>特定環境保全公共下水道</v>
          </cell>
          <cell r="I285" t="str">
            <v>単独</v>
          </cell>
          <cell r="J285" t="str">
            <v>001</v>
          </cell>
          <cell r="K285" t="str">
            <v>軽米浄化センター</v>
          </cell>
          <cell r="M285" t="str">
            <v>1</v>
          </cell>
          <cell r="N285" t="str">
            <v>1</v>
          </cell>
          <cell r="Q285">
            <v>38777</v>
          </cell>
          <cell r="R285" t="str">
            <v>平成</v>
          </cell>
          <cell r="S285">
            <v>18</v>
          </cell>
          <cell r="T285">
            <v>3</v>
          </cell>
          <cell r="AB285">
            <v>6100</v>
          </cell>
          <cell r="AC285" t="str">
            <v>雪谷川</v>
          </cell>
          <cell r="AD285" t="str">
            <v>Ａ</v>
          </cell>
          <cell r="AE285" t="str">
            <v>イ</v>
          </cell>
          <cell r="AF285">
            <v>15</v>
          </cell>
          <cell r="AJ285" t="str">
            <v>雪谷川</v>
          </cell>
          <cell r="AL285" t="str">
            <v>駒木取水場</v>
          </cell>
          <cell r="AN285">
            <v>4.3</v>
          </cell>
          <cell r="AO285" t="str">
            <v>軽米町</v>
          </cell>
          <cell r="AQ285" t="str">
            <v/>
          </cell>
          <cell r="AR285" t="str">
            <v>オキシディションディッチ法</v>
          </cell>
          <cell r="AS285" t="str">
            <v>0350102001</v>
          </cell>
          <cell r="AT285" t="str">
            <v/>
          </cell>
          <cell r="AU285" t="str">
            <v>10</v>
          </cell>
          <cell r="AV285" t="str">
            <v>10</v>
          </cell>
          <cell r="AW285">
            <v>0</v>
          </cell>
          <cell r="AX285">
            <v>0</v>
          </cell>
          <cell r="AY285">
            <v>0</v>
          </cell>
          <cell r="AZ285">
            <v>0</v>
          </cell>
          <cell r="BA285">
            <v>0</v>
          </cell>
          <cell r="BD285" t="str">
            <v/>
          </cell>
          <cell r="BE285">
            <v>1</v>
          </cell>
          <cell r="BG285" t="str">
            <v>1100</v>
          </cell>
        </row>
        <row r="286">
          <cell r="B286" t="str">
            <v>G035030106100100</v>
          </cell>
          <cell r="C286" t="str">
            <v>03.岩手県</v>
          </cell>
          <cell r="D286" t="str">
            <v>503</v>
          </cell>
          <cell r="E286" t="str">
            <v>野田村</v>
          </cell>
          <cell r="F286" t="str">
            <v>01</v>
          </cell>
          <cell r="G286" t="str">
            <v>公共 単独</v>
          </cell>
          <cell r="H286" t="str">
            <v>公共下水道</v>
          </cell>
          <cell r="I286" t="str">
            <v>単独</v>
          </cell>
          <cell r="J286" t="str">
            <v>001</v>
          </cell>
          <cell r="K286" t="str">
            <v>野田浄化センター</v>
          </cell>
          <cell r="M286" t="str">
            <v>1</v>
          </cell>
          <cell r="Q286">
            <v>37347</v>
          </cell>
          <cell r="R286" t="str">
            <v>平成</v>
          </cell>
          <cell r="S286">
            <v>14</v>
          </cell>
          <cell r="T286">
            <v>4</v>
          </cell>
          <cell r="AB286">
            <v>4500</v>
          </cell>
          <cell r="AC286" t="str">
            <v>宇部川</v>
          </cell>
          <cell r="AD286" t="str">
            <v>Ａ</v>
          </cell>
          <cell r="AE286" t="str">
            <v>イ</v>
          </cell>
          <cell r="AF286">
            <v>15</v>
          </cell>
          <cell r="AJ286" t="str">
            <v>宇部川</v>
          </cell>
          <cell r="AQ286" t="str">
            <v/>
          </cell>
          <cell r="AR286" t="str">
            <v>嫌気好気ろ床法</v>
          </cell>
          <cell r="AS286" t="str">
            <v>0350301001</v>
          </cell>
          <cell r="AT286" t="str">
            <v/>
          </cell>
          <cell r="AU286" t="str">
            <v>00</v>
          </cell>
          <cell r="AV286" t="str">
            <v>00</v>
          </cell>
          <cell r="AW286">
            <v>0</v>
          </cell>
          <cell r="AX286">
            <v>0</v>
          </cell>
          <cell r="AY286">
            <v>0</v>
          </cell>
          <cell r="AZ286">
            <v>0</v>
          </cell>
          <cell r="BA286">
            <v>0</v>
          </cell>
          <cell r="BD286" t="str">
            <v/>
          </cell>
          <cell r="BE286">
            <v>1</v>
          </cell>
          <cell r="BG286" t="str">
            <v>1000</v>
          </cell>
        </row>
        <row r="287">
          <cell r="B287" t="str">
            <v>G035060206100100</v>
          </cell>
          <cell r="C287" t="str">
            <v>03.岩手県</v>
          </cell>
          <cell r="D287" t="str">
            <v>506</v>
          </cell>
          <cell r="E287" t="str">
            <v>九戸村</v>
          </cell>
          <cell r="F287" t="str">
            <v>02</v>
          </cell>
          <cell r="G287" t="str">
            <v>特環 単独</v>
          </cell>
          <cell r="H287" t="str">
            <v>特定環境保全公共下水道</v>
          </cell>
          <cell r="I287" t="str">
            <v>単独</v>
          </cell>
          <cell r="J287" t="str">
            <v>001</v>
          </cell>
          <cell r="K287" t="str">
            <v>九戸村浄化センター</v>
          </cell>
          <cell r="M287" t="str">
            <v>1</v>
          </cell>
          <cell r="N287" t="str">
            <v>1</v>
          </cell>
          <cell r="Q287">
            <v>36617</v>
          </cell>
          <cell r="R287" t="str">
            <v>平成</v>
          </cell>
          <cell r="S287">
            <v>12</v>
          </cell>
          <cell r="T287">
            <v>4</v>
          </cell>
          <cell r="AB287">
            <v>8509</v>
          </cell>
          <cell r="AC287" t="str">
            <v>新井田川河口水域</v>
          </cell>
          <cell r="AD287" t="str">
            <v>Ａ</v>
          </cell>
          <cell r="AE287" t="str">
            <v>イ</v>
          </cell>
          <cell r="AF287">
            <v>15</v>
          </cell>
          <cell r="AI287" t="str">
            <v>袖川</v>
          </cell>
          <cell r="AJ287" t="str">
            <v>瀬月内川</v>
          </cell>
          <cell r="AQ287" t="str">
            <v/>
          </cell>
          <cell r="AR287" t="str">
            <v>オキシディションディッチ法</v>
          </cell>
          <cell r="AS287" t="str">
            <v>0350602001</v>
          </cell>
          <cell r="AT287" t="str">
            <v/>
          </cell>
          <cell r="AU287" t="str">
            <v>10</v>
          </cell>
          <cell r="AV287" t="str">
            <v>10</v>
          </cell>
          <cell r="AW287">
            <v>0</v>
          </cell>
          <cell r="AX287">
            <v>0</v>
          </cell>
          <cell r="AY287">
            <v>0</v>
          </cell>
          <cell r="AZ287">
            <v>0</v>
          </cell>
          <cell r="BA287">
            <v>0</v>
          </cell>
          <cell r="BD287" t="str">
            <v/>
          </cell>
          <cell r="BE287">
            <v>1</v>
          </cell>
          <cell r="BG287" t="str">
            <v>1100</v>
          </cell>
        </row>
        <row r="288">
          <cell r="B288" t="str">
            <v>G035070206100100</v>
          </cell>
          <cell r="C288" t="str">
            <v>03.岩手県</v>
          </cell>
          <cell r="D288" t="str">
            <v>507</v>
          </cell>
          <cell r="E288" t="str">
            <v>洋野町</v>
          </cell>
          <cell r="F288" t="str">
            <v>02</v>
          </cell>
          <cell r="G288" t="str">
            <v>特環 単独</v>
          </cell>
          <cell r="H288" t="str">
            <v>特定環境保全公共下水道</v>
          </cell>
          <cell r="I288" t="str">
            <v>単独</v>
          </cell>
          <cell r="J288" t="str">
            <v>001</v>
          </cell>
          <cell r="K288" t="str">
            <v>大野浄化センター</v>
          </cell>
          <cell r="M288" t="str">
            <v>1</v>
          </cell>
          <cell r="N288" t="str">
            <v>1</v>
          </cell>
          <cell r="Q288">
            <v>37104</v>
          </cell>
          <cell r="R288" t="str">
            <v>平成</v>
          </cell>
          <cell r="S288">
            <v>13</v>
          </cell>
          <cell r="T288">
            <v>8</v>
          </cell>
          <cell r="AB288">
            <v>7209</v>
          </cell>
          <cell r="AC288" t="str">
            <v>設定なし</v>
          </cell>
          <cell r="AF288">
            <v>15</v>
          </cell>
          <cell r="AJ288" t="str">
            <v>大野川</v>
          </cell>
          <cell r="AQ288" t="str">
            <v/>
          </cell>
          <cell r="AR288" t="str">
            <v>その他処理方法</v>
          </cell>
          <cell r="AS288" t="str">
            <v>0350702001</v>
          </cell>
          <cell r="AT288" t="str">
            <v/>
          </cell>
          <cell r="AU288" t="str">
            <v>10</v>
          </cell>
          <cell r="AV288" t="str">
            <v>10</v>
          </cell>
          <cell r="AW288">
            <v>0</v>
          </cell>
          <cell r="AX288">
            <v>0</v>
          </cell>
          <cell r="AY288">
            <v>0</v>
          </cell>
          <cell r="AZ288">
            <v>0</v>
          </cell>
          <cell r="BA288">
            <v>0</v>
          </cell>
          <cell r="BD288" t="str">
            <v/>
          </cell>
          <cell r="BE288">
            <v>1</v>
          </cell>
          <cell r="BG288" t="str">
            <v>1100</v>
          </cell>
        </row>
        <row r="289">
          <cell r="B289" t="str">
            <v>G035070206100200</v>
          </cell>
          <cell r="C289" t="str">
            <v>03.岩手県</v>
          </cell>
          <cell r="D289" t="str">
            <v>507</v>
          </cell>
          <cell r="E289" t="str">
            <v>洋野町</v>
          </cell>
          <cell r="F289" t="str">
            <v>02</v>
          </cell>
          <cell r="G289" t="str">
            <v>特環 単独</v>
          </cell>
          <cell r="H289" t="str">
            <v>特定環境保全公共下水道</v>
          </cell>
          <cell r="I289" t="str">
            <v>単独</v>
          </cell>
          <cell r="J289" t="str">
            <v>002</v>
          </cell>
          <cell r="K289" t="str">
            <v>種市浄化センター</v>
          </cell>
          <cell r="M289" t="str">
            <v>1</v>
          </cell>
          <cell r="N289" t="str">
            <v>1</v>
          </cell>
          <cell r="Q289">
            <v>38777</v>
          </cell>
          <cell r="R289" t="str">
            <v>平成</v>
          </cell>
          <cell r="S289">
            <v>18</v>
          </cell>
          <cell r="T289">
            <v>3</v>
          </cell>
          <cell r="AB289">
            <v>10335</v>
          </cell>
          <cell r="AC289" t="str">
            <v>川尻川</v>
          </cell>
          <cell r="AD289" t="str">
            <v>ＡＡ</v>
          </cell>
          <cell r="AE289" t="str">
            <v>イ</v>
          </cell>
          <cell r="AF289">
            <v>15</v>
          </cell>
          <cell r="AJ289" t="str">
            <v>川尻川</v>
          </cell>
          <cell r="AL289" t="str">
            <v>南舘</v>
          </cell>
          <cell r="AM289">
            <v>0.7</v>
          </cell>
          <cell r="AO289" t="str">
            <v>洋野町</v>
          </cell>
          <cell r="AQ289" t="str">
            <v/>
          </cell>
          <cell r="AR289" t="str">
            <v>オキシディションディッチ法</v>
          </cell>
          <cell r="AS289" t="str">
            <v>0350702002</v>
          </cell>
          <cell r="AT289" t="str">
            <v/>
          </cell>
          <cell r="AU289" t="str">
            <v>10</v>
          </cell>
          <cell r="AV289" t="str">
            <v>10</v>
          </cell>
          <cell r="AW289">
            <v>0</v>
          </cell>
          <cell r="AX289">
            <v>0</v>
          </cell>
          <cell r="AY289">
            <v>0</v>
          </cell>
          <cell r="AZ289">
            <v>0</v>
          </cell>
          <cell r="BA289">
            <v>0</v>
          </cell>
          <cell r="BD289" t="str">
            <v/>
          </cell>
          <cell r="BE289">
            <v>1</v>
          </cell>
          <cell r="BG289" t="str">
            <v>1100</v>
          </cell>
        </row>
        <row r="290">
          <cell r="B290" t="str">
            <v>G035240106100100</v>
          </cell>
          <cell r="C290" t="str">
            <v>03.岩手県</v>
          </cell>
          <cell r="D290" t="str">
            <v>524</v>
          </cell>
          <cell r="E290" t="str">
            <v>一戸町</v>
          </cell>
          <cell r="F290" t="str">
            <v>01</v>
          </cell>
          <cell r="G290" t="str">
            <v>公共 単独</v>
          </cell>
          <cell r="H290" t="str">
            <v>公共下水道</v>
          </cell>
          <cell r="I290" t="str">
            <v>単独</v>
          </cell>
          <cell r="J290" t="str">
            <v>001</v>
          </cell>
          <cell r="K290" t="str">
            <v>一戸町公共下水道終末処理場</v>
          </cell>
          <cell r="M290" t="str">
            <v>1</v>
          </cell>
          <cell r="N290" t="str">
            <v>1</v>
          </cell>
          <cell r="Q290">
            <v>37695</v>
          </cell>
          <cell r="R290" t="str">
            <v>平成</v>
          </cell>
          <cell r="S290">
            <v>15</v>
          </cell>
          <cell r="T290">
            <v>3</v>
          </cell>
          <cell r="AB290">
            <v>21700</v>
          </cell>
          <cell r="AC290" t="str">
            <v>新井田川河口水域</v>
          </cell>
          <cell r="AD290" t="str">
            <v>Ａ</v>
          </cell>
          <cell r="AE290" t="str">
            <v>イ</v>
          </cell>
          <cell r="AF290">
            <v>15</v>
          </cell>
          <cell r="AI290" t="str">
            <v>1級河川馬淵川水系小井田川</v>
          </cell>
          <cell r="AL290" t="str">
            <v>一戸浄水場第二取水井</v>
          </cell>
          <cell r="AM290">
            <v>3.2</v>
          </cell>
          <cell r="AO290" t="str">
            <v>一戸町</v>
          </cell>
          <cell r="AQ290" t="str">
            <v/>
          </cell>
          <cell r="AR290" t="str">
            <v>オキシディションディッチ法</v>
          </cell>
          <cell r="AS290" t="str">
            <v>0352401001</v>
          </cell>
          <cell r="AT290" t="str">
            <v/>
          </cell>
          <cell r="AU290" t="str">
            <v>10</v>
          </cell>
          <cell r="AV290" t="str">
            <v>10</v>
          </cell>
          <cell r="AW290">
            <v>0</v>
          </cell>
          <cell r="AX290">
            <v>0</v>
          </cell>
          <cell r="AY290">
            <v>0</v>
          </cell>
          <cell r="AZ290">
            <v>0</v>
          </cell>
          <cell r="BA290">
            <v>0</v>
          </cell>
          <cell r="BD290" t="str">
            <v/>
          </cell>
          <cell r="BE290">
            <v>1</v>
          </cell>
          <cell r="BG290" t="str">
            <v>1100</v>
          </cell>
        </row>
        <row r="291">
          <cell r="B291" t="str">
            <v>G040018106100100</v>
          </cell>
          <cell r="C291" t="str">
            <v>04.宮城県</v>
          </cell>
          <cell r="D291" t="str">
            <v>001</v>
          </cell>
          <cell r="E291" t="str">
            <v>仙塩流域</v>
          </cell>
          <cell r="F291" t="str">
            <v>81</v>
          </cell>
          <cell r="G291" t="str">
            <v>流域</v>
          </cell>
          <cell r="H291" t="str">
            <v>流域下水道</v>
          </cell>
          <cell r="I291" t="str">
            <v/>
          </cell>
          <cell r="J291" t="str">
            <v>001</v>
          </cell>
          <cell r="K291" t="str">
            <v>仙塩浄化センター</v>
          </cell>
          <cell r="M291" t="str">
            <v>1</v>
          </cell>
          <cell r="N291" t="str">
            <v>1</v>
          </cell>
          <cell r="Q291">
            <v>28642</v>
          </cell>
          <cell r="R291" t="str">
            <v>昭和</v>
          </cell>
          <cell r="S291">
            <v>53</v>
          </cell>
          <cell r="T291">
            <v>6</v>
          </cell>
          <cell r="AB291">
            <v>221300</v>
          </cell>
          <cell r="AC291" t="str">
            <v>貞山運河</v>
          </cell>
          <cell r="AD291" t="str">
            <v>Ｃ</v>
          </cell>
          <cell r="AE291" t="str">
            <v>イ</v>
          </cell>
          <cell r="AF291">
            <v>10</v>
          </cell>
          <cell r="AJ291" t="str">
            <v>貞山運河</v>
          </cell>
          <cell r="AQ291" t="str">
            <v/>
          </cell>
          <cell r="AR291" t="str">
            <v>標準活性汚泥法</v>
          </cell>
          <cell r="AS291" t="str">
            <v>0400181001</v>
          </cell>
          <cell r="AT291" t="str">
            <v/>
          </cell>
          <cell r="AU291" t="str">
            <v>10</v>
          </cell>
          <cell r="AV291" t="str">
            <v>10</v>
          </cell>
          <cell r="AW291">
            <v>0</v>
          </cell>
          <cell r="AX291">
            <v>0</v>
          </cell>
          <cell r="AY291">
            <v>0</v>
          </cell>
          <cell r="AZ291">
            <v>0</v>
          </cell>
          <cell r="BA291">
            <v>0</v>
          </cell>
          <cell r="BD291" t="str">
            <v/>
          </cell>
          <cell r="BE291">
            <v>1</v>
          </cell>
          <cell r="BG291" t="str">
            <v>1100</v>
          </cell>
        </row>
        <row r="292">
          <cell r="B292" t="str">
            <v>G040028106100100</v>
          </cell>
          <cell r="C292" t="str">
            <v>04.宮城県</v>
          </cell>
          <cell r="D292" t="str">
            <v>002</v>
          </cell>
          <cell r="E292" t="str">
            <v>阿武隈川下流流域</v>
          </cell>
          <cell r="F292" t="str">
            <v>81</v>
          </cell>
          <cell r="G292" t="str">
            <v>流域</v>
          </cell>
          <cell r="H292" t="str">
            <v>流域下水道</v>
          </cell>
          <cell r="I292" t="str">
            <v/>
          </cell>
          <cell r="J292" t="str">
            <v>001</v>
          </cell>
          <cell r="K292" t="str">
            <v>県南浄化センター</v>
          </cell>
          <cell r="M292" t="str">
            <v>1</v>
          </cell>
          <cell r="N292" t="str">
            <v>1</v>
          </cell>
          <cell r="O292" t="str">
            <v>1</v>
          </cell>
          <cell r="Q292">
            <v>31048</v>
          </cell>
          <cell r="R292" t="str">
            <v>昭和</v>
          </cell>
          <cell r="S292">
            <v>60</v>
          </cell>
          <cell r="T292">
            <v>1</v>
          </cell>
          <cell r="AB292">
            <v>184900</v>
          </cell>
          <cell r="AC292" t="str">
            <v>二の倉地先</v>
          </cell>
          <cell r="AD292" t="str">
            <v>Ｃ</v>
          </cell>
          <cell r="AE292" t="str">
            <v>イ</v>
          </cell>
          <cell r="AF292">
            <v>15</v>
          </cell>
          <cell r="AI292" t="str">
            <v>二の倉地先</v>
          </cell>
          <cell r="AQ292" t="str">
            <v/>
          </cell>
          <cell r="AR292" t="str">
            <v>標準活性汚泥法</v>
          </cell>
          <cell r="AS292" t="str">
            <v>0400281001</v>
          </cell>
          <cell r="AT292" t="str">
            <v/>
          </cell>
          <cell r="AU292" t="str">
            <v>11</v>
          </cell>
          <cell r="AV292" t="str">
            <v>11</v>
          </cell>
          <cell r="AW292">
            <v>0</v>
          </cell>
          <cell r="AX292">
            <v>0</v>
          </cell>
          <cell r="AY292">
            <v>0</v>
          </cell>
          <cell r="AZ292">
            <v>0</v>
          </cell>
          <cell r="BA292">
            <v>0</v>
          </cell>
          <cell r="BD292" t="str">
            <v/>
          </cell>
          <cell r="BE292">
            <v>1</v>
          </cell>
          <cell r="BG292" t="str">
            <v>1110</v>
          </cell>
        </row>
        <row r="293">
          <cell r="B293" t="str">
            <v>G040038106100100</v>
          </cell>
          <cell r="C293" t="str">
            <v>04.宮城県</v>
          </cell>
          <cell r="D293" t="str">
            <v>003</v>
          </cell>
          <cell r="E293" t="str">
            <v>鳴瀬川流域</v>
          </cell>
          <cell r="F293" t="str">
            <v>81</v>
          </cell>
          <cell r="G293" t="str">
            <v>流域</v>
          </cell>
          <cell r="H293" t="str">
            <v>流域下水道</v>
          </cell>
          <cell r="I293" t="str">
            <v/>
          </cell>
          <cell r="J293" t="str">
            <v>001</v>
          </cell>
          <cell r="K293" t="str">
            <v>鹿島台浄化センター</v>
          </cell>
          <cell r="M293" t="str">
            <v>1</v>
          </cell>
          <cell r="N293" t="str">
            <v>1</v>
          </cell>
          <cell r="Q293">
            <v>33695</v>
          </cell>
          <cell r="R293" t="str">
            <v>平成</v>
          </cell>
          <cell r="S293">
            <v>4</v>
          </cell>
          <cell r="T293">
            <v>4</v>
          </cell>
          <cell r="AB293">
            <v>48161</v>
          </cell>
          <cell r="AC293" t="str">
            <v>鳴瀬川下流</v>
          </cell>
          <cell r="AD293" t="str">
            <v>Ｂ</v>
          </cell>
          <cell r="AE293" t="str">
            <v>イ</v>
          </cell>
          <cell r="AF293">
            <v>15</v>
          </cell>
          <cell r="AI293" t="str">
            <v>鳴瀬川</v>
          </cell>
          <cell r="AK293" t="str">
            <v>鳴瀬川</v>
          </cell>
          <cell r="AL293" t="str">
            <v>二子屋浄水場</v>
          </cell>
          <cell r="AM293">
            <v>0.3</v>
          </cell>
          <cell r="AO293" t="str">
            <v>松島町</v>
          </cell>
          <cell r="AQ293" t="str">
            <v/>
          </cell>
          <cell r="AR293" t="str">
            <v>オキシディションディッチ法</v>
          </cell>
          <cell r="AS293" t="str">
            <v>0400381001</v>
          </cell>
          <cell r="AT293" t="str">
            <v/>
          </cell>
          <cell r="AU293" t="str">
            <v>10</v>
          </cell>
          <cell r="AV293" t="str">
            <v>10</v>
          </cell>
          <cell r="AW293">
            <v>0</v>
          </cell>
          <cell r="AX293">
            <v>0</v>
          </cell>
          <cell r="AY293">
            <v>0</v>
          </cell>
          <cell r="AZ293">
            <v>0</v>
          </cell>
          <cell r="BA293">
            <v>0</v>
          </cell>
          <cell r="BD293" t="str">
            <v/>
          </cell>
          <cell r="BE293">
            <v>1</v>
          </cell>
          <cell r="BG293" t="str">
            <v>1100</v>
          </cell>
        </row>
        <row r="294">
          <cell r="B294" t="str">
            <v>G040048106100100</v>
          </cell>
          <cell r="C294" t="str">
            <v>04.宮城県</v>
          </cell>
          <cell r="D294" t="str">
            <v>004</v>
          </cell>
          <cell r="E294" t="str">
            <v>吉田川流域</v>
          </cell>
          <cell r="F294" t="str">
            <v>81</v>
          </cell>
          <cell r="G294" t="str">
            <v>流域</v>
          </cell>
          <cell r="H294" t="str">
            <v>流域下水道</v>
          </cell>
          <cell r="I294" t="str">
            <v/>
          </cell>
          <cell r="J294" t="str">
            <v>001</v>
          </cell>
          <cell r="K294" t="str">
            <v>大和浄化センター</v>
          </cell>
          <cell r="M294" t="str">
            <v>1</v>
          </cell>
          <cell r="N294" t="str">
            <v>1</v>
          </cell>
          <cell r="Q294">
            <v>33695</v>
          </cell>
          <cell r="R294" t="str">
            <v>平成</v>
          </cell>
          <cell r="S294">
            <v>4</v>
          </cell>
          <cell r="T294">
            <v>4</v>
          </cell>
          <cell r="AB294">
            <v>63525</v>
          </cell>
          <cell r="AC294" t="str">
            <v>吉田川流域</v>
          </cell>
          <cell r="AD294" t="str">
            <v>Ｂ</v>
          </cell>
          <cell r="AE294" t="str">
            <v>ロ</v>
          </cell>
          <cell r="AF294">
            <v>15</v>
          </cell>
          <cell r="AI294" t="str">
            <v>吉田川</v>
          </cell>
          <cell r="AK294" t="str">
            <v>竹林川</v>
          </cell>
          <cell r="AQ294" t="str">
            <v/>
          </cell>
          <cell r="AR294" t="str">
            <v>標準活性汚泥法</v>
          </cell>
          <cell r="AS294" t="str">
            <v>0400481001</v>
          </cell>
          <cell r="AT294" t="str">
            <v/>
          </cell>
          <cell r="AU294" t="str">
            <v>10</v>
          </cell>
          <cell r="AV294" t="str">
            <v>10</v>
          </cell>
          <cell r="AW294">
            <v>0</v>
          </cell>
          <cell r="AX294">
            <v>0</v>
          </cell>
          <cell r="AY294">
            <v>0</v>
          </cell>
          <cell r="AZ294">
            <v>0</v>
          </cell>
          <cell r="BA294">
            <v>0</v>
          </cell>
          <cell r="BD294" t="str">
            <v/>
          </cell>
          <cell r="BE294">
            <v>1</v>
          </cell>
          <cell r="BG294" t="str">
            <v>1100</v>
          </cell>
        </row>
        <row r="295">
          <cell r="B295" t="str">
            <v>G040058106100100</v>
          </cell>
          <cell r="C295" t="str">
            <v>04.宮城県</v>
          </cell>
          <cell r="D295" t="str">
            <v>005</v>
          </cell>
          <cell r="E295" t="str">
            <v>北上川下流流域</v>
          </cell>
          <cell r="F295" t="str">
            <v>81</v>
          </cell>
          <cell r="G295" t="str">
            <v>流域</v>
          </cell>
          <cell r="H295" t="str">
            <v>流域下水道</v>
          </cell>
          <cell r="I295" t="str">
            <v/>
          </cell>
          <cell r="J295" t="str">
            <v>001</v>
          </cell>
          <cell r="K295" t="str">
            <v>石巻浄化センター</v>
          </cell>
          <cell r="M295" t="str">
            <v>1</v>
          </cell>
          <cell r="N295" t="str">
            <v>1</v>
          </cell>
          <cell r="Q295">
            <v>35886</v>
          </cell>
          <cell r="R295" t="str">
            <v>平成</v>
          </cell>
          <cell r="S295">
            <v>10</v>
          </cell>
          <cell r="T295">
            <v>4</v>
          </cell>
          <cell r="AB295">
            <v>77033</v>
          </cell>
          <cell r="AC295" t="str">
            <v>旧北上川下流流域</v>
          </cell>
          <cell r="AD295" t="str">
            <v>Ｂ</v>
          </cell>
          <cell r="AE295" t="str">
            <v>ロ</v>
          </cell>
          <cell r="AK295" t="str">
            <v>旧北上川</v>
          </cell>
          <cell r="AL295" t="str">
            <v>鹿又取水場</v>
          </cell>
          <cell r="AM295">
            <v>7.1</v>
          </cell>
          <cell r="AO295" t="str">
            <v>石巻市、東松島市</v>
          </cell>
          <cell r="AQ295" t="str">
            <v/>
          </cell>
          <cell r="AR295" t="str">
            <v>標準活性汚泥法</v>
          </cell>
          <cell r="AS295" t="str">
            <v>0400581001</v>
          </cell>
          <cell r="AT295" t="str">
            <v/>
          </cell>
          <cell r="AU295" t="str">
            <v>10</v>
          </cell>
          <cell r="AV295" t="str">
            <v>10</v>
          </cell>
          <cell r="AW295">
            <v>0</v>
          </cell>
          <cell r="AX295">
            <v>0</v>
          </cell>
          <cell r="AY295">
            <v>0</v>
          </cell>
          <cell r="AZ295">
            <v>0</v>
          </cell>
          <cell r="BA295">
            <v>0</v>
          </cell>
          <cell r="BD295" t="str">
            <v/>
          </cell>
          <cell r="BE295">
            <v>1</v>
          </cell>
          <cell r="BG295" t="str">
            <v>1100</v>
          </cell>
        </row>
        <row r="296">
          <cell r="B296" t="str">
            <v>G040068106100100</v>
          </cell>
          <cell r="C296" t="str">
            <v>04.宮城県</v>
          </cell>
          <cell r="D296" t="str">
            <v>006</v>
          </cell>
          <cell r="E296" t="str">
            <v>北上川下流東部流域</v>
          </cell>
          <cell r="F296" t="str">
            <v>81</v>
          </cell>
          <cell r="G296" t="str">
            <v>流域</v>
          </cell>
          <cell r="H296" t="str">
            <v>流域下水道</v>
          </cell>
          <cell r="I296" t="str">
            <v/>
          </cell>
          <cell r="J296" t="str">
            <v>001</v>
          </cell>
          <cell r="K296" t="str">
            <v>石巻東部浄化センター</v>
          </cell>
          <cell r="M296" t="str">
            <v>1</v>
          </cell>
          <cell r="N296" t="str">
            <v>1</v>
          </cell>
          <cell r="Q296">
            <v>29891</v>
          </cell>
          <cell r="R296" t="str">
            <v>昭和</v>
          </cell>
          <cell r="S296">
            <v>56</v>
          </cell>
          <cell r="T296">
            <v>11</v>
          </cell>
          <cell r="AB296">
            <v>30282</v>
          </cell>
          <cell r="AC296" t="str">
            <v>旧北上川下流流域</v>
          </cell>
          <cell r="AD296" t="str">
            <v>Ｂ</v>
          </cell>
          <cell r="AE296" t="str">
            <v>ロ</v>
          </cell>
          <cell r="AF296">
            <v>15</v>
          </cell>
          <cell r="AK296" t="str">
            <v>旧北上川</v>
          </cell>
          <cell r="AL296" t="str">
            <v>鹿又取水場</v>
          </cell>
          <cell r="AM296">
            <v>15.3</v>
          </cell>
          <cell r="AO296" t="str">
            <v>石巻市、東松島市</v>
          </cell>
          <cell r="AQ296" t="str">
            <v/>
          </cell>
          <cell r="AR296" t="str">
            <v>酸素活性汚泥法</v>
          </cell>
          <cell r="AS296" t="str">
            <v>0400681001</v>
          </cell>
          <cell r="AT296" t="str">
            <v/>
          </cell>
          <cell r="AU296" t="str">
            <v>10</v>
          </cell>
          <cell r="AV296" t="str">
            <v>10</v>
          </cell>
          <cell r="AW296">
            <v>0</v>
          </cell>
          <cell r="AX296">
            <v>0</v>
          </cell>
          <cell r="AY296">
            <v>0</v>
          </cell>
          <cell r="AZ296">
            <v>0</v>
          </cell>
          <cell r="BA296">
            <v>0</v>
          </cell>
          <cell r="BD296" t="str">
            <v/>
          </cell>
          <cell r="BE296">
            <v>1</v>
          </cell>
          <cell r="BG296" t="str">
            <v>1100</v>
          </cell>
        </row>
        <row r="297">
          <cell r="B297" t="str">
            <v>G040078106100100</v>
          </cell>
          <cell r="C297" t="str">
            <v>04.宮城県</v>
          </cell>
          <cell r="D297" t="str">
            <v>007</v>
          </cell>
          <cell r="E297" t="str">
            <v>迫川流域</v>
          </cell>
          <cell r="F297" t="str">
            <v>81</v>
          </cell>
          <cell r="G297" t="str">
            <v>流域</v>
          </cell>
          <cell r="H297" t="str">
            <v>流域下水道</v>
          </cell>
          <cell r="I297" t="str">
            <v/>
          </cell>
          <cell r="J297" t="str">
            <v>001</v>
          </cell>
          <cell r="K297" t="str">
            <v>石越浄化センター</v>
          </cell>
          <cell r="M297" t="str">
            <v>1</v>
          </cell>
          <cell r="N297" t="str">
            <v>1</v>
          </cell>
          <cell r="Q297">
            <v>36708</v>
          </cell>
          <cell r="R297" t="str">
            <v>平成</v>
          </cell>
          <cell r="S297">
            <v>12</v>
          </cell>
          <cell r="T297">
            <v>7</v>
          </cell>
          <cell r="AB297">
            <v>72000</v>
          </cell>
          <cell r="AC297" t="str">
            <v>迫川中流水域</v>
          </cell>
          <cell r="AD297" t="str">
            <v>Ａ</v>
          </cell>
          <cell r="AE297" t="str">
            <v>イ</v>
          </cell>
          <cell r="AK297" t="str">
            <v>北上川水系夏川</v>
          </cell>
          <cell r="AQ297" t="str">
            <v/>
          </cell>
          <cell r="AR297" t="str">
            <v>オキシディションディッチ法</v>
          </cell>
          <cell r="AS297" t="str">
            <v>0400781001</v>
          </cell>
          <cell r="AT297" t="str">
            <v/>
          </cell>
          <cell r="AU297" t="str">
            <v>10</v>
          </cell>
          <cell r="AV297" t="str">
            <v>10</v>
          </cell>
          <cell r="AW297">
            <v>0</v>
          </cell>
          <cell r="AX297">
            <v>0</v>
          </cell>
          <cell r="AY297">
            <v>0</v>
          </cell>
          <cell r="AZ297">
            <v>0</v>
          </cell>
          <cell r="BA297">
            <v>0</v>
          </cell>
          <cell r="BD297" t="str">
            <v/>
          </cell>
          <cell r="BE297">
            <v>1</v>
          </cell>
          <cell r="BG297" t="str">
            <v>1100</v>
          </cell>
        </row>
        <row r="298">
          <cell r="B298" t="str">
            <v>G041000106100100</v>
          </cell>
          <cell r="C298" t="str">
            <v>04.宮城県</v>
          </cell>
          <cell r="D298" t="str">
            <v>100</v>
          </cell>
          <cell r="E298" t="str">
            <v>仙台市</v>
          </cell>
          <cell r="F298" t="str">
            <v>01</v>
          </cell>
          <cell r="G298" t="str">
            <v>公共 単独</v>
          </cell>
          <cell r="H298" t="str">
            <v>公共下水道</v>
          </cell>
          <cell r="I298" t="str">
            <v>単独</v>
          </cell>
          <cell r="J298" t="str">
            <v>001</v>
          </cell>
          <cell r="K298" t="str">
            <v>南蒲生浄化センター</v>
          </cell>
          <cell r="M298" t="str">
            <v>1</v>
          </cell>
          <cell r="N298" t="str">
            <v>1</v>
          </cell>
          <cell r="Q298">
            <v>23651</v>
          </cell>
          <cell r="R298" t="str">
            <v>昭和</v>
          </cell>
          <cell r="S298">
            <v>39</v>
          </cell>
          <cell r="T298">
            <v>10</v>
          </cell>
          <cell r="AB298">
            <v>259100</v>
          </cell>
          <cell r="AF298">
            <v>15</v>
          </cell>
          <cell r="AI298" t="str">
            <v>太平洋仙台湾</v>
          </cell>
          <cell r="AQ298" t="str">
            <v/>
          </cell>
          <cell r="AR298" t="str">
            <v>標準活性汚泥法</v>
          </cell>
          <cell r="AS298" t="str">
            <v>0410001001</v>
          </cell>
          <cell r="AT298" t="str">
            <v/>
          </cell>
          <cell r="AU298" t="str">
            <v>10</v>
          </cell>
          <cell r="AV298" t="str">
            <v>10</v>
          </cell>
          <cell r="AW298">
            <v>0</v>
          </cell>
          <cell r="AX298">
            <v>0</v>
          </cell>
          <cell r="AY298">
            <v>0</v>
          </cell>
          <cell r="AZ298">
            <v>0</v>
          </cell>
          <cell r="BA298">
            <v>0</v>
          </cell>
          <cell r="BD298" t="str">
            <v/>
          </cell>
          <cell r="BE298">
            <v>1</v>
          </cell>
          <cell r="BG298" t="str">
            <v>1100</v>
          </cell>
        </row>
        <row r="299">
          <cell r="B299" t="str">
            <v>G041000106100200</v>
          </cell>
          <cell r="C299" t="str">
            <v>04.宮城県</v>
          </cell>
          <cell r="D299" t="str">
            <v>100</v>
          </cell>
          <cell r="E299" t="str">
            <v>仙台市</v>
          </cell>
          <cell r="F299" t="str">
            <v>01</v>
          </cell>
          <cell r="G299" t="str">
            <v>公共 単独</v>
          </cell>
          <cell r="H299" t="str">
            <v>公共下水道</v>
          </cell>
          <cell r="I299" t="str">
            <v>単独</v>
          </cell>
          <cell r="J299" t="str">
            <v>002</v>
          </cell>
          <cell r="K299" t="str">
            <v>上谷刈浄化センター</v>
          </cell>
          <cell r="M299" t="str">
            <v>1</v>
          </cell>
          <cell r="Q299">
            <v>28399</v>
          </cell>
          <cell r="R299" t="str">
            <v>昭和</v>
          </cell>
          <cell r="S299">
            <v>52</v>
          </cell>
          <cell r="T299">
            <v>10</v>
          </cell>
          <cell r="AB299">
            <v>29300</v>
          </cell>
          <cell r="AC299" t="str">
            <v>七北田川</v>
          </cell>
          <cell r="AD299" t="str">
            <v>Ａ</v>
          </cell>
          <cell r="AE299" t="str">
            <v>イ</v>
          </cell>
          <cell r="AJ299" t="str">
            <v>七北田川</v>
          </cell>
          <cell r="AQ299" t="str">
            <v/>
          </cell>
          <cell r="AR299" t="str">
            <v>標準活性汚泥法</v>
          </cell>
          <cell r="AS299" t="str">
            <v>0410001002</v>
          </cell>
          <cell r="AT299" t="str">
            <v/>
          </cell>
          <cell r="AU299" t="str">
            <v>00</v>
          </cell>
          <cell r="AV299" t="str">
            <v>00</v>
          </cell>
          <cell r="AW299">
            <v>0</v>
          </cell>
          <cell r="AX299">
            <v>0</v>
          </cell>
          <cell r="AY299">
            <v>0</v>
          </cell>
          <cell r="AZ299">
            <v>0</v>
          </cell>
          <cell r="BA299">
            <v>0</v>
          </cell>
          <cell r="BD299" t="str">
            <v/>
          </cell>
          <cell r="BE299">
            <v>1</v>
          </cell>
          <cell r="BG299" t="str">
            <v>1000</v>
          </cell>
        </row>
        <row r="300">
          <cell r="B300" t="str">
            <v>G041000106100300</v>
          </cell>
          <cell r="C300" t="str">
            <v>04.宮城県</v>
          </cell>
          <cell r="D300" t="str">
            <v>100</v>
          </cell>
          <cell r="E300" t="str">
            <v>仙台市</v>
          </cell>
          <cell r="F300" t="str">
            <v>01</v>
          </cell>
          <cell r="G300" t="str">
            <v>公共 単独</v>
          </cell>
          <cell r="H300" t="str">
            <v>公共下水道</v>
          </cell>
          <cell r="I300" t="str">
            <v>単独</v>
          </cell>
          <cell r="J300" t="str">
            <v>003</v>
          </cell>
          <cell r="K300" t="str">
            <v>広瀬川浄化センター</v>
          </cell>
          <cell r="M300" t="str">
            <v>1</v>
          </cell>
          <cell r="N300" t="str">
            <v>1</v>
          </cell>
          <cell r="P300" t="str">
            <v>1</v>
          </cell>
          <cell r="Q300">
            <v>34060</v>
          </cell>
          <cell r="R300" t="str">
            <v>平成</v>
          </cell>
          <cell r="S300">
            <v>5</v>
          </cell>
          <cell r="T300">
            <v>4</v>
          </cell>
          <cell r="AB300">
            <v>49200</v>
          </cell>
          <cell r="AC300" t="str">
            <v>広瀬川</v>
          </cell>
          <cell r="AD300" t="str">
            <v>Ｂ</v>
          </cell>
          <cell r="AE300" t="str">
            <v>ロ</v>
          </cell>
          <cell r="AF300">
            <v>3</v>
          </cell>
          <cell r="AG300">
            <v>7</v>
          </cell>
          <cell r="AI300" t="str">
            <v>綱木川</v>
          </cell>
          <cell r="AK300" t="str">
            <v>名取川</v>
          </cell>
          <cell r="AQ300" t="str">
            <v/>
          </cell>
          <cell r="AR300" t="str">
            <v>嫌気好気活性汚泥法</v>
          </cell>
          <cell r="AS300" t="str">
            <v>0410001003</v>
          </cell>
          <cell r="AT300" t="str">
            <v/>
          </cell>
          <cell r="AU300" t="str">
            <v>10</v>
          </cell>
          <cell r="AV300" t="str">
            <v>10</v>
          </cell>
          <cell r="AW300">
            <v>1</v>
          </cell>
          <cell r="AX300">
            <v>0</v>
          </cell>
          <cell r="AY300">
            <v>0</v>
          </cell>
          <cell r="AZ300">
            <v>0</v>
          </cell>
          <cell r="BA300">
            <v>0</v>
          </cell>
          <cell r="BD300" t="str">
            <v/>
          </cell>
          <cell r="BE300">
            <v>1</v>
          </cell>
          <cell r="BG300" t="str">
            <v>1101</v>
          </cell>
        </row>
        <row r="301">
          <cell r="B301" t="str">
            <v>G041000206100400</v>
          </cell>
          <cell r="C301" t="str">
            <v>04.宮城県</v>
          </cell>
          <cell r="D301" t="str">
            <v>100</v>
          </cell>
          <cell r="E301" t="str">
            <v>仙台市</v>
          </cell>
          <cell r="F301" t="str">
            <v>02</v>
          </cell>
          <cell r="G301" t="str">
            <v>特環 単独</v>
          </cell>
          <cell r="H301" t="str">
            <v>特定環境保全公共下水道</v>
          </cell>
          <cell r="I301" t="str">
            <v>単独</v>
          </cell>
          <cell r="J301" t="str">
            <v>004</v>
          </cell>
          <cell r="K301" t="str">
            <v>秋保温泉浄化センター</v>
          </cell>
          <cell r="M301" t="str">
            <v>1</v>
          </cell>
          <cell r="N301" t="str">
            <v>1</v>
          </cell>
          <cell r="Q301">
            <v>32387</v>
          </cell>
          <cell r="R301" t="str">
            <v>昭和</v>
          </cell>
          <cell r="S301">
            <v>63</v>
          </cell>
          <cell r="T301">
            <v>9</v>
          </cell>
          <cell r="AB301">
            <v>25300</v>
          </cell>
          <cell r="AC301" t="str">
            <v>名取川</v>
          </cell>
          <cell r="AD301" t="str">
            <v>Ａ</v>
          </cell>
          <cell r="AE301" t="str">
            <v>イ</v>
          </cell>
          <cell r="AF301">
            <v>15</v>
          </cell>
          <cell r="AK301" t="str">
            <v>名取川</v>
          </cell>
          <cell r="AQ301" t="str">
            <v/>
          </cell>
          <cell r="AR301" t="str">
            <v>オキシディションディッチ法</v>
          </cell>
          <cell r="AS301" t="str">
            <v>0410002004</v>
          </cell>
          <cell r="AT301" t="str">
            <v/>
          </cell>
          <cell r="AU301" t="str">
            <v>10</v>
          </cell>
          <cell r="AV301" t="str">
            <v>10</v>
          </cell>
          <cell r="AW301">
            <v>0</v>
          </cell>
          <cell r="AX301">
            <v>0</v>
          </cell>
          <cell r="AY301">
            <v>0</v>
          </cell>
          <cell r="AZ301">
            <v>0</v>
          </cell>
          <cell r="BA301">
            <v>0</v>
          </cell>
          <cell r="BD301" t="str">
            <v/>
          </cell>
          <cell r="BE301">
            <v>1</v>
          </cell>
          <cell r="BG301" t="str">
            <v>1100</v>
          </cell>
        </row>
        <row r="302">
          <cell r="B302" t="str">
            <v>G041000206100500</v>
          </cell>
          <cell r="C302" t="str">
            <v>04.宮城県</v>
          </cell>
          <cell r="D302" t="str">
            <v>100</v>
          </cell>
          <cell r="E302" t="str">
            <v>仙台市</v>
          </cell>
          <cell r="F302" t="str">
            <v>02</v>
          </cell>
          <cell r="G302" t="str">
            <v>特環 単独</v>
          </cell>
          <cell r="H302" t="str">
            <v>特定環境保全公共下水道</v>
          </cell>
          <cell r="I302" t="str">
            <v>単独</v>
          </cell>
          <cell r="J302" t="str">
            <v>005</v>
          </cell>
          <cell r="K302" t="str">
            <v>定義浄化センター</v>
          </cell>
          <cell r="M302" t="str">
            <v>1</v>
          </cell>
          <cell r="N302" t="str">
            <v>1</v>
          </cell>
          <cell r="Q302">
            <v>35855</v>
          </cell>
          <cell r="R302" t="str">
            <v>平成</v>
          </cell>
          <cell r="S302">
            <v>10</v>
          </cell>
          <cell r="T302">
            <v>3</v>
          </cell>
          <cell r="AB302">
            <v>2300</v>
          </cell>
          <cell r="AC302" t="str">
            <v>大倉川</v>
          </cell>
          <cell r="AD302" t="str">
            <v>ＡＡ</v>
          </cell>
          <cell r="AE302" t="str">
            <v>イ</v>
          </cell>
          <cell r="AF302">
            <v>7</v>
          </cell>
          <cell r="AI302" t="str">
            <v>高見沢</v>
          </cell>
          <cell r="AK302" t="str">
            <v>名取川</v>
          </cell>
          <cell r="AL302" t="str">
            <v>国見浄水場取水口</v>
          </cell>
          <cell r="AN302">
            <v>6</v>
          </cell>
          <cell r="AO302" t="str">
            <v>仙台市</v>
          </cell>
          <cell r="AQ302" t="str">
            <v/>
          </cell>
          <cell r="AR302" t="str">
            <v>回分式活性汚泥法</v>
          </cell>
          <cell r="AS302" t="str">
            <v>0410002005</v>
          </cell>
          <cell r="AT302" t="str">
            <v/>
          </cell>
          <cell r="AU302" t="str">
            <v>10</v>
          </cell>
          <cell r="AV302" t="str">
            <v>10</v>
          </cell>
          <cell r="AW302">
            <v>0</v>
          </cell>
          <cell r="AX302">
            <v>0</v>
          </cell>
          <cell r="AY302">
            <v>0</v>
          </cell>
          <cell r="AZ302">
            <v>0</v>
          </cell>
          <cell r="BA302">
            <v>0</v>
          </cell>
          <cell r="BD302" t="str">
            <v/>
          </cell>
          <cell r="BE302">
            <v>1</v>
          </cell>
          <cell r="BG302" t="str">
            <v>1100</v>
          </cell>
        </row>
        <row r="303">
          <cell r="B303" t="str">
            <v>G042020106100100</v>
          </cell>
          <cell r="C303" t="str">
            <v>04.宮城県</v>
          </cell>
          <cell r="D303" t="str">
            <v>202</v>
          </cell>
          <cell r="E303" t="str">
            <v>石巻市</v>
          </cell>
          <cell r="F303" t="str">
            <v>01</v>
          </cell>
          <cell r="G303" t="str">
            <v>公共 単独</v>
          </cell>
          <cell r="H303" t="str">
            <v>公共下水道</v>
          </cell>
          <cell r="I303" t="str">
            <v>単独</v>
          </cell>
          <cell r="J303" t="str">
            <v>001</v>
          </cell>
          <cell r="K303" t="str">
            <v>飯野川浄化センター</v>
          </cell>
          <cell r="M303" t="str">
            <v>1</v>
          </cell>
          <cell r="Q303">
            <v>36831</v>
          </cell>
          <cell r="R303" t="str">
            <v>平成</v>
          </cell>
          <cell r="S303">
            <v>12</v>
          </cell>
          <cell r="T303">
            <v>11</v>
          </cell>
          <cell r="AB303">
            <v>11400</v>
          </cell>
          <cell r="AC303" t="str">
            <v>北上川</v>
          </cell>
          <cell r="AD303" t="str">
            <v>Ａ</v>
          </cell>
          <cell r="AE303" t="str">
            <v>イ</v>
          </cell>
          <cell r="AF303">
            <v>15</v>
          </cell>
          <cell r="AG303">
            <v>20</v>
          </cell>
          <cell r="AH303">
            <v>3</v>
          </cell>
          <cell r="AK303" t="str">
            <v>北上川</v>
          </cell>
          <cell r="AL303" t="str">
            <v>山崎取水口</v>
          </cell>
          <cell r="AM303">
            <v>3</v>
          </cell>
          <cell r="AO303" t="str">
            <v>石巻市</v>
          </cell>
          <cell r="AQ303" t="str">
            <v/>
          </cell>
          <cell r="AR303" t="str">
            <v>嫌気好気ろ床法</v>
          </cell>
          <cell r="AS303" t="str">
            <v>0420201001</v>
          </cell>
          <cell r="AT303" t="str">
            <v/>
          </cell>
          <cell r="AU303" t="str">
            <v>00</v>
          </cell>
          <cell r="AV303" t="str">
            <v>00</v>
          </cell>
          <cell r="AW303">
            <v>0</v>
          </cell>
          <cell r="AX303">
            <v>0</v>
          </cell>
          <cell r="AY303">
            <v>0</v>
          </cell>
          <cell r="AZ303">
            <v>0</v>
          </cell>
          <cell r="BA303">
            <v>0</v>
          </cell>
          <cell r="BD303" t="str">
            <v/>
          </cell>
          <cell r="BE303">
            <v>1</v>
          </cell>
          <cell r="BG303" t="str">
            <v>1000</v>
          </cell>
        </row>
        <row r="304">
          <cell r="B304" t="str">
            <v>G042020206100200</v>
          </cell>
          <cell r="C304" t="str">
            <v>04.宮城県</v>
          </cell>
          <cell r="D304" t="str">
            <v>202</v>
          </cell>
          <cell r="E304" t="str">
            <v>石巻市</v>
          </cell>
          <cell r="F304" t="str">
            <v>02</v>
          </cell>
          <cell r="G304" t="str">
            <v>特環 単独</v>
          </cell>
          <cell r="H304" t="str">
            <v>特定環境保全公共下水道</v>
          </cell>
          <cell r="I304" t="str">
            <v>単独</v>
          </cell>
          <cell r="J304" t="str">
            <v>002</v>
          </cell>
          <cell r="K304" t="str">
            <v>あゆかわ浄化センター</v>
          </cell>
          <cell r="M304" t="str">
            <v>1</v>
          </cell>
          <cell r="N304" t="str">
            <v>1</v>
          </cell>
          <cell r="Q304">
            <v>37347</v>
          </cell>
          <cell r="R304" t="str">
            <v>平成</v>
          </cell>
          <cell r="S304">
            <v>14</v>
          </cell>
          <cell r="T304">
            <v>4</v>
          </cell>
          <cell r="AB304">
            <v>17400</v>
          </cell>
          <cell r="AC304" t="str">
            <v>設定なし</v>
          </cell>
          <cell r="AF304">
            <v>15</v>
          </cell>
          <cell r="AI304" t="str">
            <v>十八成浜湾</v>
          </cell>
          <cell r="AL304" t="str">
            <v>鮎川簡易</v>
          </cell>
          <cell r="AM304">
            <v>1.8</v>
          </cell>
          <cell r="AQ304" t="str">
            <v/>
          </cell>
          <cell r="AR304" t="str">
            <v>オキシディションディッチ法</v>
          </cell>
          <cell r="AS304" t="str">
            <v>0420202002</v>
          </cell>
          <cell r="AT304" t="str">
            <v/>
          </cell>
          <cell r="AU304" t="str">
            <v>10</v>
          </cell>
          <cell r="AV304" t="str">
            <v>10</v>
          </cell>
          <cell r="AW304">
            <v>0</v>
          </cell>
          <cell r="AX304">
            <v>0</v>
          </cell>
          <cell r="AY304">
            <v>0</v>
          </cell>
          <cell r="AZ304">
            <v>0</v>
          </cell>
          <cell r="BA304">
            <v>0</v>
          </cell>
          <cell r="BD304" t="str">
            <v/>
          </cell>
          <cell r="BE304">
            <v>1</v>
          </cell>
          <cell r="BG304" t="str">
            <v>1100</v>
          </cell>
        </row>
        <row r="305">
          <cell r="B305" t="str">
            <v>G042020206100300</v>
          </cell>
          <cell r="C305" t="str">
            <v>04.宮城県</v>
          </cell>
          <cell r="D305" t="str">
            <v>202</v>
          </cell>
          <cell r="E305" t="str">
            <v>石巻市</v>
          </cell>
          <cell r="F305" t="str">
            <v>02</v>
          </cell>
          <cell r="G305" t="str">
            <v>特環 単独</v>
          </cell>
          <cell r="H305" t="str">
            <v>特定環境保全公共下水道</v>
          </cell>
          <cell r="I305" t="str">
            <v>単独</v>
          </cell>
          <cell r="J305" t="str">
            <v>003</v>
          </cell>
          <cell r="K305" t="str">
            <v>北上浄化センター</v>
          </cell>
          <cell r="M305" t="str">
            <v>1</v>
          </cell>
          <cell r="N305" t="str">
            <v>1</v>
          </cell>
          <cell r="Q305">
            <v>37377</v>
          </cell>
          <cell r="R305" t="str">
            <v>平成</v>
          </cell>
          <cell r="S305">
            <v>14</v>
          </cell>
          <cell r="T305">
            <v>5</v>
          </cell>
          <cell r="AB305">
            <v>5600</v>
          </cell>
          <cell r="AC305" t="str">
            <v>設定なし</v>
          </cell>
          <cell r="AF305">
            <v>15</v>
          </cell>
          <cell r="AK305" t="str">
            <v>皿貝川</v>
          </cell>
          <cell r="AL305" t="str">
            <v>山崎取出口</v>
          </cell>
          <cell r="AM305">
            <v>15</v>
          </cell>
          <cell r="AO305" t="str">
            <v>石巻市</v>
          </cell>
          <cell r="AQ305" t="str">
            <v/>
          </cell>
          <cell r="AR305" t="str">
            <v>オキシディションディッチ法</v>
          </cell>
          <cell r="AS305" t="str">
            <v>0420202003</v>
          </cell>
          <cell r="AT305" t="str">
            <v/>
          </cell>
          <cell r="AU305" t="str">
            <v>10</v>
          </cell>
          <cell r="AV305" t="str">
            <v>10</v>
          </cell>
          <cell r="AW305">
            <v>0</v>
          </cell>
          <cell r="AX305">
            <v>0</v>
          </cell>
          <cell r="AY305">
            <v>0</v>
          </cell>
          <cell r="AZ305">
            <v>0</v>
          </cell>
          <cell r="BA305">
            <v>0</v>
          </cell>
          <cell r="BD305" t="str">
            <v/>
          </cell>
          <cell r="BE305">
            <v>1</v>
          </cell>
          <cell r="BG305" t="str">
            <v>1100</v>
          </cell>
        </row>
        <row r="306">
          <cell r="B306" t="str">
            <v>G042020206100400</v>
          </cell>
          <cell r="C306" t="str">
            <v>04.宮城県</v>
          </cell>
          <cell r="D306" t="str">
            <v>202</v>
          </cell>
          <cell r="E306" t="str">
            <v>石巻市</v>
          </cell>
          <cell r="F306" t="str">
            <v>02</v>
          </cell>
          <cell r="G306" t="str">
            <v>特環 単独</v>
          </cell>
          <cell r="H306" t="str">
            <v>特定環境保全公共下水道</v>
          </cell>
          <cell r="I306" t="str">
            <v>単独</v>
          </cell>
          <cell r="J306" t="str">
            <v>004</v>
          </cell>
          <cell r="K306" t="str">
            <v>雄勝浄化センター</v>
          </cell>
          <cell r="M306" t="str">
            <v>1</v>
          </cell>
          <cell r="Q306">
            <v>38777</v>
          </cell>
          <cell r="R306" t="str">
            <v>平成</v>
          </cell>
          <cell r="S306">
            <v>18</v>
          </cell>
          <cell r="T306">
            <v>3</v>
          </cell>
          <cell r="U306" t="str">
            <v>休止</v>
          </cell>
          <cell r="V306">
            <v>40603</v>
          </cell>
          <cell r="W306" t="str">
            <v>平成</v>
          </cell>
          <cell r="X306">
            <v>23</v>
          </cell>
          <cell r="Y306">
            <v>3</v>
          </cell>
          <cell r="AQ306" t="str">
            <v>休止</v>
          </cell>
          <cell r="AR306" t="str">
            <v/>
          </cell>
          <cell r="AS306" t="str">
            <v>0420202004</v>
          </cell>
          <cell r="AT306" t="str">
            <v/>
          </cell>
          <cell r="AU306" t="str">
            <v>00</v>
          </cell>
          <cell r="AV306" t="str">
            <v>00</v>
          </cell>
          <cell r="AW306">
            <v>0</v>
          </cell>
          <cell r="AX306">
            <v>0</v>
          </cell>
          <cell r="AY306">
            <v>0</v>
          </cell>
          <cell r="AZ306">
            <v>0</v>
          </cell>
          <cell r="BA306">
            <v>0</v>
          </cell>
          <cell r="BD306" t="str">
            <v/>
          </cell>
          <cell r="BE306">
            <v>0</v>
          </cell>
          <cell r="BG306">
            <v>5555</v>
          </cell>
        </row>
        <row r="307">
          <cell r="B307" t="str">
            <v>G042050106100100</v>
          </cell>
          <cell r="C307" t="str">
            <v>04.宮城県</v>
          </cell>
          <cell r="D307" t="str">
            <v>205</v>
          </cell>
          <cell r="E307" t="str">
            <v>気仙沼市</v>
          </cell>
          <cell r="F307" t="str">
            <v>01</v>
          </cell>
          <cell r="G307" t="str">
            <v>公共 単独</v>
          </cell>
          <cell r="H307" t="str">
            <v>公共下水道</v>
          </cell>
          <cell r="I307" t="str">
            <v>単独</v>
          </cell>
          <cell r="J307" t="str">
            <v>001</v>
          </cell>
          <cell r="K307" t="str">
            <v>気仙沼終末処理場</v>
          </cell>
          <cell r="M307" t="str">
            <v>1</v>
          </cell>
          <cell r="N307" t="str">
            <v>1</v>
          </cell>
          <cell r="O307" t="str">
            <v>1</v>
          </cell>
          <cell r="Q307">
            <v>38777</v>
          </cell>
          <cell r="R307" t="str">
            <v>平成</v>
          </cell>
          <cell r="S307">
            <v>18</v>
          </cell>
          <cell r="T307">
            <v>3</v>
          </cell>
          <cell r="U307" t="str">
            <v>休止</v>
          </cell>
          <cell r="V307">
            <v>40603</v>
          </cell>
          <cell r="W307" t="str">
            <v>平成</v>
          </cell>
          <cell r="X307">
            <v>23</v>
          </cell>
          <cell r="Y307">
            <v>3</v>
          </cell>
          <cell r="Z307" t="str">
            <v>応急対応</v>
          </cell>
          <cell r="AB307">
            <v>52400</v>
          </cell>
          <cell r="AC307" t="str">
            <v>気仙沼湾</v>
          </cell>
          <cell r="AD307" t="str">
            <v>Ｂ-Ⅲ</v>
          </cell>
          <cell r="AE307" t="str">
            <v>イ</v>
          </cell>
          <cell r="AP307" t="str">
            <v>（震）休止</v>
          </cell>
          <cell r="AQ307" t="str">
            <v>休止</v>
          </cell>
          <cell r="AR307" t="str">
            <v/>
          </cell>
          <cell r="AS307" t="str">
            <v>0420501001</v>
          </cell>
          <cell r="AT307" t="str">
            <v/>
          </cell>
          <cell r="AU307" t="str">
            <v>11</v>
          </cell>
          <cell r="AV307" t="str">
            <v>10</v>
          </cell>
          <cell r="AW307">
            <v>0</v>
          </cell>
          <cell r="AX307">
            <v>0</v>
          </cell>
          <cell r="AY307">
            <v>-1</v>
          </cell>
          <cell r="AZ307">
            <v>0</v>
          </cell>
          <cell r="BA307">
            <v>1</v>
          </cell>
          <cell r="BC307" t="str">
            <v>場休止</v>
          </cell>
          <cell r="BD307" t="str">
            <v>場休止</v>
          </cell>
          <cell r="BE307">
            <v>1</v>
          </cell>
          <cell r="BG307">
            <v>5555</v>
          </cell>
        </row>
        <row r="308">
          <cell r="B308" t="str">
            <v>G042050206100200</v>
          </cell>
          <cell r="C308" t="str">
            <v>04.宮城県</v>
          </cell>
          <cell r="D308" t="str">
            <v>205</v>
          </cell>
          <cell r="E308" t="str">
            <v>気仙沼市</v>
          </cell>
          <cell r="F308" t="str">
            <v>02</v>
          </cell>
          <cell r="G308" t="str">
            <v>特環 単独</v>
          </cell>
          <cell r="H308" t="str">
            <v>特定環境保全公共下水道</v>
          </cell>
          <cell r="I308" t="str">
            <v>単独</v>
          </cell>
          <cell r="J308" t="str">
            <v>002</v>
          </cell>
          <cell r="K308" t="str">
            <v>津谷街浄化センター</v>
          </cell>
          <cell r="M308" t="str">
            <v>1</v>
          </cell>
          <cell r="Q308">
            <v>37377</v>
          </cell>
          <cell r="R308" t="str">
            <v>平成</v>
          </cell>
          <cell r="S308">
            <v>14</v>
          </cell>
          <cell r="T308">
            <v>5</v>
          </cell>
          <cell r="AB308">
            <v>2926</v>
          </cell>
          <cell r="AC308" t="str">
            <v>津谷川</v>
          </cell>
          <cell r="AD308" t="str">
            <v>Ｂ</v>
          </cell>
          <cell r="AE308" t="str">
            <v>イ</v>
          </cell>
          <cell r="AF308">
            <v>20</v>
          </cell>
          <cell r="AJ308" t="str">
            <v>津谷川</v>
          </cell>
          <cell r="AL308" t="str">
            <v>新圃の沢</v>
          </cell>
          <cell r="AM308">
            <v>0.6</v>
          </cell>
          <cell r="AO308" t="str">
            <v>気仙沼市</v>
          </cell>
          <cell r="AP308" t="str">
            <v>ＢＯＤ認可値</v>
          </cell>
          <cell r="AQ308" t="str">
            <v/>
          </cell>
          <cell r="AR308" t="str">
            <v>嫌気好気ろ床法</v>
          </cell>
          <cell r="AS308" t="str">
            <v>0420502002</v>
          </cell>
          <cell r="AT308">
            <v>1</v>
          </cell>
          <cell r="AU308" t="str">
            <v>00</v>
          </cell>
          <cell r="AV308" t="str">
            <v>00</v>
          </cell>
          <cell r="AW308">
            <v>0</v>
          </cell>
          <cell r="AX308">
            <v>0</v>
          </cell>
          <cell r="AY308">
            <v>0</v>
          </cell>
          <cell r="AZ308">
            <v>0</v>
          </cell>
          <cell r="BA308">
            <v>0</v>
          </cell>
          <cell r="BD308" t="str">
            <v/>
          </cell>
          <cell r="BE308">
            <v>1</v>
          </cell>
          <cell r="BG308" t="str">
            <v>1000</v>
          </cell>
        </row>
        <row r="309">
          <cell r="B309" t="str">
            <v>G042120106100100</v>
          </cell>
          <cell r="C309" t="str">
            <v>04.宮城県</v>
          </cell>
          <cell r="D309" t="str">
            <v>212</v>
          </cell>
          <cell r="E309" t="str">
            <v>登米市</v>
          </cell>
          <cell r="F309" t="str">
            <v>01</v>
          </cell>
          <cell r="G309" t="str">
            <v>公共 単独</v>
          </cell>
          <cell r="H309" t="str">
            <v>公共下水道</v>
          </cell>
          <cell r="I309" t="str">
            <v>単独</v>
          </cell>
          <cell r="J309" t="str">
            <v>001</v>
          </cell>
          <cell r="K309" t="str">
            <v>佐沼環境浄化センター</v>
          </cell>
          <cell r="M309" t="str">
            <v>1</v>
          </cell>
          <cell r="N309" t="str">
            <v>1</v>
          </cell>
          <cell r="Q309">
            <v>34423</v>
          </cell>
          <cell r="R309" t="str">
            <v>平成</v>
          </cell>
          <cell r="S309">
            <v>6</v>
          </cell>
          <cell r="T309">
            <v>3</v>
          </cell>
          <cell r="AB309">
            <v>69800</v>
          </cell>
          <cell r="AC309" t="str">
            <v>迫川</v>
          </cell>
          <cell r="AD309" t="str">
            <v>Ｂ</v>
          </cell>
          <cell r="AE309" t="str">
            <v>イ</v>
          </cell>
          <cell r="AF309">
            <v>15</v>
          </cell>
          <cell r="AG309">
            <v>10</v>
          </cell>
          <cell r="AI309" t="str">
            <v>大網排水路</v>
          </cell>
          <cell r="AK309" t="str">
            <v>迫川</v>
          </cell>
          <cell r="AQ309" t="str">
            <v/>
          </cell>
          <cell r="AR309" t="str">
            <v>オキシディションディッチ法</v>
          </cell>
          <cell r="AS309" t="str">
            <v>0421201001</v>
          </cell>
          <cell r="AT309" t="str">
            <v/>
          </cell>
          <cell r="AU309" t="str">
            <v>10</v>
          </cell>
          <cell r="AV309" t="str">
            <v>10</v>
          </cell>
          <cell r="AW309">
            <v>0</v>
          </cell>
          <cell r="AX309">
            <v>0</v>
          </cell>
          <cell r="AY309">
            <v>0</v>
          </cell>
          <cell r="AZ309">
            <v>0</v>
          </cell>
          <cell r="BA309">
            <v>0</v>
          </cell>
          <cell r="BD309" t="str">
            <v/>
          </cell>
          <cell r="BE309">
            <v>1</v>
          </cell>
          <cell r="BG309" t="str">
            <v>1100</v>
          </cell>
        </row>
        <row r="310">
          <cell r="B310" t="str">
            <v>G042120206100200</v>
          </cell>
          <cell r="C310" t="str">
            <v>04.宮城県</v>
          </cell>
          <cell r="D310" t="str">
            <v>212</v>
          </cell>
          <cell r="E310" t="str">
            <v>登米市</v>
          </cell>
          <cell r="F310" t="str">
            <v>02</v>
          </cell>
          <cell r="G310" t="str">
            <v>特環 単独</v>
          </cell>
          <cell r="H310" t="str">
            <v>特定環境保全公共下水道</v>
          </cell>
          <cell r="I310" t="str">
            <v>単独</v>
          </cell>
          <cell r="J310" t="str">
            <v>002</v>
          </cell>
          <cell r="K310" t="str">
            <v>豊里浄化センター</v>
          </cell>
          <cell r="M310" t="str">
            <v>1</v>
          </cell>
          <cell r="N310" t="str">
            <v>1</v>
          </cell>
          <cell r="Q310">
            <v>35885</v>
          </cell>
          <cell r="R310" t="str">
            <v>平成</v>
          </cell>
          <cell r="S310">
            <v>10</v>
          </cell>
          <cell r="T310">
            <v>3</v>
          </cell>
          <cell r="AB310">
            <v>15600</v>
          </cell>
          <cell r="AC310" t="str">
            <v>北上水系</v>
          </cell>
          <cell r="AD310" t="str">
            <v>Ｂ</v>
          </cell>
          <cell r="AE310" t="str">
            <v>イ</v>
          </cell>
          <cell r="AF310">
            <v>15</v>
          </cell>
          <cell r="AG310">
            <v>20</v>
          </cell>
          <cell r="AK310" t="str">
            <v>迫川</v>
          </cell>
          <cell r="AN310">
            <v>5</v>
          </cell>
          <cell r="AO310" t="str">
            <v>石巻市</v>
          </cell>
          <cell r="AQ310" t="str">
            <v/>
          </cell>
          <cell r="AR310" t="str">
            <v>オキシディションディッチ法</v>
          </cell>
          <cell r="AS310" t="str">
            <v>0421202002</v>
          </cell>
          <cell r="AT310" t="str">
            <v/>
          </cell>
          <cell r="AU310" t="str">
            <v>10</v>
          </cell>
          <cell r="AV310" t="str">
            <v>10</v>
          </cell>
          <cell r="AW310">
            <v>0</v>
          </cell>
          <cell r="AX310">
            <v>0</v>
          </cell>
          <cell r="AY310">
            <v>0</v>
          </cell>
          <cell r="AZ310">
            <v>0</v>
          </cell>
          <cell r="BA310">
            <v>0</v>
          </cell>
          <cell r="BD310" t="str">
            <v/>
          </cell>
          <cell r="BE310">
            <v>1</v>
          </cell>
          <cell r="BG310" t="str">
            <v>1100</v>
          </cell>
        </row>
        <row r="311">
          <cell r="B311" t="str">
            <v>G042120206100300</v>
          </cell>
          <cell r="C311" t="str">
            <v>04.宮城県</v>
          </cell>
          <cell r="D311" t="str">
            <v>212</v>
          </cell>
          <cell r="E311" t="str">
            <v>登米市</v>
          </cell>
          <cell r="F311" t="str">
            <v>02</v>
          </cell>
          <cell r="G311" t="str">
            <v>特環 単独</v>
          </cell>
          <cell r="H311" t="str">
            <v>特定環境保全公共下水道</v>
          </cell>
          <cell r="I311" t="str">
            <v>単独</v>
          </cell>
          <cell r="J311" t="str">
            <v>003</v>
          </cell>
          <cell r="K311" t="str">
            <v>大関浄化センター</v>
          </cell>
          <cell r="M311" t="str">
            <v>1</v>
          </cell>
          <cell r="Q311">
            <v>37347</v>
          </cell>
          <cell r="R311" t="str">
            <v>平成</v>
          </cell>
          <cell r="S311">
            <v>14</v>
          </cell>
          <cell r="T311">
            <v>4</v>
          </cell>
          <cell r="AB311">
            <v>4700</v>
          </cell>
          <cell r="AC311" t="str">
            <v>北上川系大関川</v>
          </cell>
          <cell r="AD311" t="str">
            <v>Ａ</v>
          </cell>
          <cell r="AE311" t="str">
            <v>イ</v>
          </cell>
          <cell r="AF311">
            <v>15</v>
          </cell>
          <cell r="AG311">
            <v>20</v>
          </cell>
          <cell r="AK311" t="str">
            <v>大関川</v>
          </cell>
          <cell r="AL311" t="str">
            <v>米谷第１水現</v>
          </cell>
          <cell r="AM311">
            <v>0.9</v>
          </cell>
          <cell r="AO311" t="str">
            <v>登米市</v>
          </cell>
          <cell r="AQ311" t="str">
            <v/>
          </cell>
          <cell r="AR311" t="str">
            <v>嫌気好気ろ床法</v>
          </cell>
          <cell r="AS311" t="str">
            <v>0421202003</v>
          </cell>
          <cell r="AT311" t="str">
            <v/>
          </cell>
          <cell r="AU311" t="str">
            <v>00</v>
          </cell>
          <cell r="AV311" t="str">
            <v>00</v>
          </cell>
          <cell r="AW311">
            <v>0</v>
          </cell>
          <cell r="AX311">
            <v>0</v>
          </cell>
          <cell r="AY311">
            <v>0</v>
          </cell>
          <cell r="AZ311">
            <v>0</v>
          </cell>
          <cell r="BA311">
            <v>0</v>
          </cell>
          <cell r="BD311" t="str">
            <v/>
          </cell>
          <cell r="BE311">
            <v>1</v>
          </cell>
          <cell r="BG311" t="str">
            <v>1000</v>
          </cell>
        </row>
        <row r="312">
          <cell r="B312" t="str">
            <v>G042120206100400</v>
          </cell>
          <cell r="C312" t="str">
            <v>04.宮城県</v>
          </cell>
          <cell r="D312" t="str">
            <v>212</v>
          </cell>
          <cell r="E312" t="str">
            <v>登米市</v>
          </cell>
          <cell r="F312" t="str">
            <v>02</v>
          </cell>
          <cell r="G312" t="str">
            <v>特環 単独</v>
          </cell>
          <cell r="H312" t="str">
            <v>特定環境保全公共下水道</v>
          </cell>
          <cell r="I312" t="str">
            <v>単独</v>
          </cell>
          <cell r="J312" t="str">
            <v>004</v>
          </cell>
          <cell r="K312" t="str">
            <v>津山浄化センター</v>
          </cell>
          <cell r="M312" t="str">
            <v>1</v>
          </cell>
          <cell r="N312" t="str">
            <v>1</v>
          </cell>
          <cell r="Q312">
            <v>37655</v>
          </cell>
          <cell r="R312" t="str">
            <v>平成</v>
          </cell>
          <cell r="S312">
            <v>15</v>
          </cell>
          <cell r="T312">
            <v>2</v>
          </cell>
          <cell r="AB312">
            <v>13326</v>
          </cell>
          <cell r="AC312" t="str">
            <v>北上川水系</v>
          </cell>
          <cell r="AD312" t="str">
            <v>Ａ</v>
          </cell>
          <cell r="AE312" t="str">
            <v>イ</v>
          </cell>
          <cell r="AF312">
            <v>15</v>
          </cell>
          <cell r="AG312">
            <v>20</v>
          </cell>
          <cell r="AK312" t="str">
            <v>南沢川</v>
          </cell>
          <cell r="AQ312" t="str">
            <v/>
          </cell>
          <cell r="AR312" t="str">
            <v>オキシディションディッチ法</v>
          </cell>
          <cell r="AS312" t="str">
            <v>0421202004</v>
          </cell>
          <cell r="AT312" t="str">
            <v/>
          </cell>
          <cell r="AU312" t="str">
            <v>10</v>
          </cell>
          <cell r="AV312" t="str">
            <v>10</v>
          </cell>
          <cell r="AW312">
            <v>0</v>
          </cell>
          <cell r="AX312">
            <v>0</v>
          </cell>
          <cell r="AY312">
            <v>0</v>
          </cell>
          <cell r="AZ312">
            <v>0</v>
          </cell>
          <cell r="BA312">
            <v>0</v>
          </cell>
          <cell r="BD312" t="str">
            <v/>
          </cell>
          <cell r="BE312">
            <v>1</v>
          </cell>
          <cell r="BG312" t="str">
            <v>1100</v>
          </cell>
        </row>
        <row r="313">
          <cell r="B313" t="str">
            <v>G042130206100100</v>
          </cell>
          <cell r="C313" t="str">
            <v>04.宮城県</v>
          </cell>
          <cell r="D313" t="str">
            <v>213</v>
          </cell>
          <cell r="E313" t="str">
            <v>栗原市</v>
          </cell>
          <cell r="F313" t="str">
            <v>02</v>
          </cell>
          <cell r="G313" t="str">
            <v>特環 単独</v>
          </cell>
          <cell r="H313" t="str">
            <v>特定環境保全公共下水道</v>
          </cell>
          <cell r="I313" t="str">
            <v>単独</v>
          </cell>
          <cell r="J313" t="str">
            <v>001</v>
          </cell>
          <cell r="K313" t="str">
            <v>鶯沢浄化センター</v>
          </cell>
          <cell r="M313" t="str">
            <v>1</v>
          </cell>
          <cell r="N313" t="str">
            <v>1</v>
          </cell>
          <cell r="Q313">
            <v>35855</v>
          </cell>
          <cell r="R313" t="str">
            <v>平成</v>
          </cell>
          <cell r="S313">
            <v>10</v>
          </cell>
          <cell r="T313">
            <v>3</v>
          </cell>
          <cell r="AB313">
            <v>8500</v>
          </cell>
          <cell r="AC313" t="str">
            <v>二迫川</v>
          </cell>
          <cell r="AD313" t="str">
            <v>Ａ</v>
          </cell>
          <cell r="AE313" t="str">
            <v>イ</v>
          </cell>
          <cell r="AF313">
            <v>13</v>
          </cell>
          <cell r="AK313" t="str">
            <v>二迫川</v>
          </cell>
          <cell r="AL313" t="str">
            <v>金成第２取水口</v>
          </cell>
          <cell r="AN313">
            <v>9.6999999999999993</v>
          </cell>
          <cell r="AO313" t="str">
            <v>栗原市</v>
          </cell>
          <cell r="AQ313" t="str">
            <v/>
          </cell>
          <cell r="AR313" t="str">
            <v>オキシディションディッチ法</v>
          </cell>
          <cell r="AS313" t="str">
            <v>0421302001</v>
          </cell>
          <cell r="AT313" t="str">
            <v/>
          </cell>
          <cell r="AU313" t="str">
            <v>10</v>
          </cell>
          <cell r="AV313" t="str">
            <v>10</v>
          </cell>
          <cell r="AW313">
            <v>0</v>
          </cell>
          <cell r="AX313">
            <v>0</v>
          </cell>
          <cell r="AY313">
            <v>0</v>
          </cell>
          <cell r="AZ313">
            <v>0</v>
          </cell>
          <cell r="BA313">
            <v>0</v>
          </cell>
          <cell r="BD313" t="str">
            <v/>
          </cell>
          <cell r="BE313">
            <v>1</v>
          </cell>
          <cell r="BG313" t="str">
            <v>1100</v>
          </cell>
        </row>
        <row r="314">
          <cell r="B314" t="str">
            <v>G042130206100200</v>
          </cell>
          <cell r="C314" t="str">
            <v>04.宮城県</v>
          </cell>
          <cell r="D314" t="str">
            <v>213</v>
          </cell>
          <cell r="E314" t="str">
            <v>栗原市</v>
          </cell>
          <cell r="F314" t="str">
            <v>02</v>
          </cell>
          <cell r="G314" t="str">
            <v>特環 単独</v>
          </cell>
          <cell r="H314" t="str">
            <v>特定環境保全公共下水道</v>
          </cell>
          <cell r="I314" t="str">
            <v>単独</v>
          </cell>
          <cell r="J314" t="str">
            <v>002</v>
          </cell>
          <cell r="K314" t="str">
            <v>花山浄化センター</v>
          </cell>
          <cell r="M314" t="str">
            <v>1</v>
          </cell>
          <cell r="Q314">
            <v>36586</v>
          </cell>
          <cell r="R314" t="str">
            <v>平成</v>
          </cell>
          <cell r="S314">
            <v>12</v>
          </cell>
          <cell r="T314">
            <v>3</v>
          </cell>
          <cell r="AB314">
            <v>4928</v>
          </cell>
          <cell r="AC314" t="str">
            <v>設定なし</v>
          </cell>
          <cell r="AF314">
            <v>13</v>
          </cell>
          <cell r="AK314" t="str">
            <v>草木川</v>
          </cell>
          <cell r="AL314" t="str">
            <v>一迫上水道</v>
          </cell>
          <cell r="AO314" t="str">
            <v>栗原市</v>
          </cell>
          <cell r="AQ314" t="str">
            <v/>
          </cell>
          <cell r="AR314" t="str">
            <v>オキシディションディッチ法</v>
          </cell>
          <cell r="AS314" t="str">
            <v>0421302002</v>
          </cell>
          <cell r="AT314" t="str">
            <v/>
          </cell>
          <cell r="AU314" t="str">
            <v>00</v>
          </cell>
          <cell r="AV314" t="str">
            <v>00</v>
          </cell>
          <cell r="AW314">
            <v>0</v>
          </cell>
          <cell r="AX314">
            <v>0</v>
          </cell>
          <cell r="AY314">
            <v>0</v>
          </cell>
          <cell r="AZ314">
            <v>0</v>
          </cell>
          <cell r="BA314">
            <v>0</v>
          </cell>
          <cell r="BB314" t="str">
            <v>濃縮休止</v>
          </cell>
          <cell r="BD314" t="str">
            <v>濃縮休止</v>
          </cell>
          <cell r="BE314">
            <v>1</v>
          </cell>
          <cell r="BG314" t="str">
            <v>1000</v>
          </cell>
        </row>
        <row r="315">
          <cell r="B315" t="str">
            <v>G042130206100300</v>
          </cell>
          <cell r="C315" t="str">
            <v>04.宮城県</v>
          </cell>
          <cell r="D315" t="str">
            <v>213</v>
          </cell>
          <cell r="E315" t="str">
            <v>栗原市</v>
          </cell>
          <cell r="F315" t="str">
            <v>02</v>
          </cell>
          <cell r="G315" t="str">
            <v>特環 単独</v>
          </cell>
          <cell r="H315" t="str">
            <v>特定環境保全公共下水道</v>
          </cell>
          <cell r="I315" t="str">
            <v>単独</v>
          </cell>
          <cell r="J315" t="str">
            <v>003</v>
          </cell>
          <cell r="K315" t="str">
            <v>瀬峰・高清水浄化センター</v>
          </cell>
          <cell r="M315" t="str">
            <v>1</v>
          </cell>
          <cell r="N315" t="str">
            <v>1</v>
          </cell>
          <cell r="Q315">
            <v>36951</v>
          </cell>
          <cell r="R315" t="str">
            <v>平成</v>
          </cell>
          <cell r="S315">
            <v>13</v>
          </cell>
          <cell r="T315">
            <v>3</v>
          </cell>
          <cell r="AB315">
            <v>20000</v>
          </cell>
          <cell r="AC315" t="str">
            <v>迫川下流</v>
          </cell>
          <cell r="AD315" t="str">
            <v>Ｂ</v>
          </cell>
          <cell r="AE315" t="str">
            <v>イ</v>
          </cell>
          <cell r="AF315">
            <v>13</v>
          </cell>
          <cell r="AK315" t="str">
            <v>北上川水系小山田川</v>
          </cell>
          <cell r="AL315" t="str">
            <v>神取取水口</v>
          </cell>
          <cell r="AN315">
            <v>25</v>
          </cell>
          <cell r="AO315" t="str">
            <v>石巻市</v>
          </cell>
          <cell r="AQ315" t="str">
            <v/>
          </cell>
          <cell r="AR315" t="str">
            <v>オキシディションディッチ法</v>
          </cell>
          <cell r="AS315" t="str">
            <v>0421302003</v>
          </cell>
          <cell r="AT315" t="str">
            <v/>
          </cell>
          <cell r="AU315" t="str">
            <v>10</v>
          </cell>
          <cell r="AV315" t="str">
            <v>10</v>
          </cell>
          <cell r="AW315">
            <v>0</v>
          </cell>
          <cell r="AX315">
            <v>0</v>
          </cell>
          <cell r="AY315">
            <v>0</v>
          </cell>
          <cell r="AZ315">
            <v>0</v>
          </cell>
          <cell r="BA315">
            <v>0</v>
          </cell>
          <cell r="BD315" t="str">
            <v/>
          </cell>
          <cell r="BE315">
            <v>1</v>
          </cell>
          <cell r="BG315" t="str">
            <v>1100</v>
          </cell>
        </row>
        <row r="316">
          <cell r="B316" t="str">
            <v>G042140106100100</v>
          </cell>
          <cell r="C316" t="str">
            <v>04.宮城県</v>
          </cell>
          <cell r="D316" t="str">
            <v>214</v>
          </cell>
          <cell r="E316" t="str">
            <v>東松島市</v>
          </cell>
          <cell r="F316" t="str">
            <v>01</v>
          </cell>
          <cell r="G316" t="str">
            <v>公共 単独</v>
          </cell>
          <cell r="H316" t="str">
            <v>公共下水道</v>
          </cell>
          <cell r="I316" t="str">
            <v>単独</v>
          </cell>
          <cell r="J316" t="str">
            <v>001</v>
          </cell>
          <cell r="K316" t="str">
            <v>中沢浄化センター</v>
          </cell>
          <cell r="M316" t="str">
            <v>1</v>
          </cell>
          <cell r="N316" t="str">
            <v>1</v>
          </cell>
          <cell r="Q316">
            <v>34060</v>
          </cell>
          <cell r="R316" t="str">
            <v>平成</v>
          </cell>
          <cell r="S316">
            <v>5</v>
          </cell>
          <cell r="T316">
            <v>4</v>
          </cell>
          <cell r="AB316">
            <v>2149</v>
          </cell>
          <cell r="AC316" t="str">
            <v>定川</v>
          </cell>
          <cell r="AD316" t="str">
            <v>Ｃ</v>
          </cell>
          <cell r="AE316" t="str">
            <v>イ</v>
          </cell>
          <cell r="AF316">
            <v>20</v>
          </cell>
          <cell r="AI316" t="str">
            <v>中沢排水路</v>
          </cell>
          <cell r="AJ316" t="str">
            <v>定川</v>
          </cell>
          <cell r="AQ316" t="str">
            <v/>
          </cell>
          <cell r="AR316" t="str">
            <v>オキシディションディッチ法</v>
          </cell>
          <cell r="AS316" t="str">
            <v>0421401001</v>
          </cell>
          <cell r="AT316" t="str">
            <v/>
          </cell>
          <cell r="AU316" t="str">
            <v>10</v>
          </cell>
          <cell r="AV316" t="str">
            <v>10</v>
          </cell>
          <cell r="AW316">
            <v>0</v>
          </cell>
          <cell r="AX316">
            <v>0</v>
          </cell>
          <cell r="AY316">
            <v>0</v>
          </cell>
          <cell r="AZ316">
            <v>0</v>
          </cell>
          <cell r="BA316">
            <v>0</v>
          </cell>
          <cell r="BD316" t="str">
            <v/>
          </cell>
          <cell r="BE316">
            <v>1</v>
          </cell>
          <cell r="BG316" t="str">
            <v>1100</v>
          </cell>
        </row>
        <row r="317">
          <cell r="B317" t="str">
            <v>G042150106100100</v>
          </cell>
          <cell r="C317" t="str">
            <v>04.宮城県</v>
          </cell>
          <cell r="D317" t="str">
            <v>215</v>
          </cell>
          <cell r="E317" t="str">
            <v>大崎市</v>
          </cell>
          <cell r="F317" t="str">
            <v>01</v>
          </cell>
          <cell r="G317" t="str">
            <v>公共 単独</v>
          </cell>
          <cell r="H317" t="str">
            <v>公共下水道</v>
          </cell>
          <cell r="I317" t="str">
            <v>単独</v>
          </cell>
          <cell r="J317" t="str">
            <v>001</v>
          </cell>
          <cell r="K317" t="str">
            <v>古川師山下水浄化センター</v>
          </cell>
          <cell r="M317" t="str">
            <v>1</v>
          </cell>
          <cell r="N317" t="str">
            <v>1</v>
          </cell>
          <cell r="Q317">
            <v>30773</v>
          </cell>
          <cell r="R317" t="str">
            <v>昭和</v>
          </cell>
          <cell r="S317">
            <v>59</v>
          </cell>
          <cell r="T317">
            <v>4</v>
          </cell>
          <cell r="AB317">
            <v>30181</v>
          </cell>
          <cell r="AC317" t="str">
            <v>大崎市（古川）内水域</v>
          </cell>
          <cell r="AD317" t="str">
            <v>Ｃ</v>
          </cell>
          <cell r="AE317" t="str">
            <v>ハ</v>
          </cell>
          <cell r="AF317">
            <v>15</v>
          </cell>
          <cell r="AK317" t="str">
            <v>立堀川，鳴瀬川</v>
          </cell>
          <cell r="AL317" t="str">
            <v>美里町（小牛田）上水</v>
          </cell>
          <cell r="AN317">
            <v>7</v>
          </cell>
          <cell r="AO317" t="str">
            <v>美里町</v>
          </cell>
          <cell r="AQ317" t="str">
            <v/>
          </cell>
          <cell r="AR317" t="str">
            <v>標準活性汚泥法</v>
          </cell>
          <cell r="AS317" t="str">
            <v>0421501001</v>
          </cell>
          <cell r="AT317" t="str">
            <v/>
          </cell>
          <cell r="AU317" t="str">
            <v>10</v>
          </cell>
          <cell r="AV317" t="str">
            <v>10</v>
          </cell>
          <cell r="AW317">
            <v>0</v>
          </cell>
          <cell r="AX317">
            <v>0</v>
          </cell>
          <cell r="AY317">
            <v>0</v>
          </cell>
          <cell r="AZ317">
            <v>0</v>
          </cell>
          <cell r="BA317">
            <v>0</v>
          </cell>
          <cell r="BD317" t="str">
            <v/>
          </cell>
          <cell r="BE317">
            <v>1</v>
          </cell>
          <cell r="BG317" t="str">
            <v>1100</v>
          </cell>
        </row>
        <row r="318">
          <cell r="B318" t="str">
            <v>G042150106100200</v>
          </cell>
          <cell r="C318" t="str">
            <v>04.宮城県</v>
          </cell>
          <cell r="D318" t="str">
            <v>215</v>
          </cell>
          <cell r="E318" t="str">
            <v>大崎市</v>
          </cell>
          <cell r="F318" t="str">
            <v>01</v>
          </cell>
          <cell r="G318" t="str">
            <v>公共 単独</v>
          </cell>
          <cell r="H318" t="str">
            <v>公共下水道</v>
          </cell>
          <cell r="I318" t="str">
            <v>単独</v>
          </cell>
          <cell r="J318" t="str">
            <v>002</v>
          </cell>
          <cell r="K318" t="str">
            <v>岩出山浄化センター</v>
          </cell>
          <cell r="M318" t="str">
            <v>1</v>
          </cell>
          <cell r="N318" t="str">
            <v>1</v>
          </cell>
          <cell r="Q318">
            <v>38261</v>
          </cell>
          <cell r="R318" t="str">
            <v>平成</v>
          </cell>
          <cell r="S318">
            <v>16</v>
          </cell>
          <cell r="T318">
            <v>10</v>
          </cell>
          <cell r="AB318">
            <v>15355</v>
          </cell>
          <cell r="AC318" t="str">
            <v>江合川水域</v>
          </cell>
          <cell r="AD318" t="str">
            <v>Ａ</v>
          </cell>
          <cell r="AE318" t="str">
            <v>イ</v>
          </cell>
          <cell r="AF318">
            <v>10</v>
          </cell>
          <cell r="AK318" t="str">
            <v>蛭沢川</v>
          </cell>
          <cell r="AL318" t="str">
            <v>第１取水工</v>
          </cell>
          <cell r="AN318">
            <v>30</v>
          </cell>
          <cell r="AO318" t="str">
            <v>大崎市</v>
          </cell>
          <cell r="AQ318" t="str">
            <v/>
          </cell>
          <cell r="AR318" t="str">
            <v>オキシディションディッチ法</v>
          </cell>
          <cell r="AS318" t="str">
            <v>0421501002</v>
          </cell>
          <cell r="AT318" t="str">
            <v/>
          </cell>
          <cell r="AU318" t="str">
            <v>10</v>
          </cell>
          <cell r="AV318" t="str">
            <v>10</v>
          </cell>
          <cell r="AW318">
            <v>0</v>
          </cell>
          <cell r="AX318">
            <v>0</v>
          </cell>
          <cell r="AY318">
            <v>0</v>
          </cell>
          <cell r="AZ318">
            <v>0</v>
          </cell>
          <cell r="BA318">
            <v>0</v>
          </cell>
          <cell r="BD318" t="str">
            <v/>
          </cell>
          <cell r="BE318">
            <v>1</v>
          </cell>
          <cell r="BG318" t="str">
            <v>1100</v>
          </cell>
        </row>
        <row r="319">
          <cell r="B319" t="str">
            <v>G042150206100300</v>
          </cell>
          <cell r="C319" t="str">
            <v>04.宮城県</v>
          </cell>
          <cell r="D319" t="str">
            <v>215</v>
          </cell>
          <cell r="E319" t="str">
            <v>大崎市</v>
          </cell>
          <cell r="F319" t="str">
            <v>02</v>
          </cell>
          <cell r="G319" t="str">
            <v>特環 単独</v>
          </cell>
          <cell r="H319" t="str">
            <v>特定環境保全公共下水道</v>
          </cell>
          <cell r="I319" t="str">
            <v>単独</v>
          </cell>
          <cell r="J319" t="str">
            <v>003</v>
          </cell>
          <cell r="K319" t="str">
            <v>鳴子浄化センター</v>
          </cell>
          <cell r="M319" t="str">
            <v>1</v>
          </cell>
          <cell r="N319" t="str">
            <v>1</v>
          </cell>
          <cell r="Q319">
            <v>36770</v>
          </cell>
          <cell r="R319" t="str">
            <v>平成</v>
          </cell>
          <cell r="S319">
            <v>12</v>
          </cell>
          <cell r="T319">
            <v>9</v>
          </cell>
          <cell r="AB319">
            <v>24400</v>
          </cell>
          <cell r="AC319" t="str">
            <v>江合川</v>
          </cell>
          <cell r="AD319" t="str">
            <v>Ａ</v>
          </cell>
          <cell r="AE319" t="str">
            <v>イ</v>
          </cell>
          <cell r="AF319">
            <v>15</v>
          </cell>
          <cell r="AK319" t="str">
            <v>江合川</v>
          </cell>
          <cell r="AL319" t="str">
            <v>清水閘門</v>
          </cell>
          <cell r="AN319">
            <v>23</v>
          </cell>
          <cell r="AO319" t="str">
            <v>大崎市</v>
          </cell>
          <cell r="AQ319" t="str">
            <v/>
          </cell>
          <cell r="AR319" t="str">
            <v>オキシディションディッチ法</v>
          </cell>
          <cell r="AS319" t="str">
            <v>0421502003</v>
          </cell>
          <cell r="AT319" t="str">
            <v/>
          </cell>
          <cell r="AU319" t="str">
            <v>10</v>
          </cell>
          <cell r="AV319" t="str">
            <v>10</v>
          </cell>
          <cell r="AW319">
            <v>0</v>
          </cell>
          <cell r="AX319">
            <v>0</v>
          </cell>
          <cell r="AY319">
            <v>0</v>
          </cell>
          <cell r="AZ319">
            <v>0</v>
          </cell>
          <cell r="BA319">
            <v>0</v>
          </cell>
          <cell r="BD319" t="str">
            <v/>
          </cell>
          <cell r="BE319">
            <v>1</v>
          </cell>
          <cell r="BG319" t="str">
            <v>1100</v>
          </cell>
        </row>
        <row r="320">
          <cell r="B320" t="str">
            <v>G043020206100100</v>
          </cell>
          <cell r="C320" t="str">
            <v>04.宮城県</v>
          </cell>
          <cell r="D320" t="str">
            <v>302</v>
          </cell>
          <cell r="E320" t="str">
            <v>七ヶ宿町</v>
          </cell>
          <cell r="F320" t="str">
            <v>02</v>
          </cell>
          <cell r="G320" t="str">
            <v>特環 単独</v>
          </cell>
          <cell r="H320" t="str">
            <v>特定環境保全公共下水道</v>
          </cell>
          <cell r="I320" t="str">
            <v>単独</v>
          </cell>
          <cell r="J320" t="str">
            <v>001</v>
          </cell>
          <cell r="K320" t="str">
            <v>関浄化センター</v>
          </cell>
          <cell r="M320" t="str">
            <v>1</v>
          </cell>
          <cell r="N320" t="str">
            <v>1</v>
          </cell>
          <cell r="Q320">
            <v>32964</v>
          </cell>
          <cell r="R320" t="str">
            <v>平成</v>
          </cell>
          <cell r="S320">
            <v>2</v>
          </cell>
          <cell r="T320">
            <v>4</v>
          </cell>
          <cell r="AB320">
            <v>16423</v>
          </cell>
          <cell r="AC320" t="str">
            <v>白石川</v>
          </cell>
          <cell r="AD320" t="str">
            <v>ＡＡ</v>
          </cell>
          <cell r="AE320" t="str">
            <v>イ</v>
          </cell>
          <cell r="AF320">
            <v>15</v>
          </cell>
          <cell r="AK320" t="str">
            <v>横川</v>
          </cell>
          <cell r="AL320" t="str">
            <v>七ヶ宿ダム</v>
          </cell>
          <cell r="AN320">
            <v>6</v>
          </cell>
          <cell r="AO320" t="str">
            <v>国土交通省</v>
          </cell>
          <cell r="AQ320" t="str">
            <v/>
          </cell>
          <cell r="AR320" t="str">
            <v>オキシディションディッチ法</v>
          </cell>
          <cell r="AS320" t="str">
            <v>0430202001</v>
          </cell>
          <cell r="AT320" t="str">
            <v/>
          </cell>
          <cell r="AU320" t="str">
            <v>10</v>
          </cell>
          <cell r="AV320" t="str">
            <v>10</v>
          </cell>
          <cell r="AW320">
            <v>0</v>
          </cell>
          <cell r="AX320">
            <v>0</v>
          </cell>
          <cell r="AY320">
            <v>0</v>
          </cell>
          <cell r="AZ320">
            <v>0</v>
          </cell>
          <cell r="BA320">
            <v>0</v>
          </cell>
          <cell r="BD320" t="str">
            <v/>
          </cell>
          <cell r="BE320">
            <v>1</v>
          </cell>
          <cell r="BG320" t="str">
            <v>1100</v>
          </cell>
        </row>
        <row r="321">
          <cell r="B321" t="str">
            <v>G043240106100100</v>
          </cell>
          <cell r="C321" t="str">
            <v>04.宮城県</v>
          </cell>
          <cell r="D321" t="str">
            <v>324</v>
          </cell>
          <cell r="E321" t="str">
            <v>川崎町</v>
          </cell>
          <cell r="F321" t="str">
            <v>01</v>
          </cell>
          <cell r="G321" t="str">
            <v>公共 単独</v>
          </cell>
          <cell r="H321" t="str">
            <v>公共下水道</v>
          </cell>
          <cell r="I321" t="str">
            <v>単独</v>
          </cell>
          <cell r="J321" t="str">
            <v>001</v>
          </cell>
          <cell r="K321" t="str">
            <v>釜房環境浄化センター</v>
          </cell>
          <cell r="M321" t="str">
            <v>1</v>
          </cell>
          <cell r="N321" t="str">
            <v>1</v>
          </cell>
          <cell r="Q321">
            <v>31138</v>
          </cell>
          <cell r="R321" t="str">
            <v>昭和</v>
          </cell>
          <cell r="S321">
            <v>60</v>
          </cell>
          <cell r="T321">
            <v>4</v>
          </cell>
          <cell r="AB321">
            <v>20200</v>
          </cell>
          <cell r="AC321" t="str">
            <v>名取川</v>
          </cell>
          <cell r="AE321" t="str">
            <v>イ</v>
          </cell>
          <cell r="AF321">
            <v>2</v>
          </cell>
          <cell r="AI321" t="str">
            <v>碁石川</v>
          </cell>
          <cell r="AL321" t="str">
            <v>茂庭</v>
          </cell>
          <cell r="AN321">
            <v>20</v>
          </cell>
          <cell r="AO321" t="str">
            <v>仙台市</v>
          </cell>
          <cell r="AQ321" t="str">
            <v/>
          </cell>
          <cell r="AR321" t="str">
            <v>オキシディションディッチ法</v>
          </cell>
          <cell r="AS321" t="str">
            <v>0432401001</v>
          </cell>
          <cell r="AT321" t="str">
            <v/>
          </cell>
          <cell r="AU321" t="str">
            <v>10</v>
          </cell>
          <cell r="AV321" t="str">
            <v>10</v>
          </cell>
          <cell r="AW321">
            <v>0</v>
          </cell>
          <cell r="AX321">
            <v>0</v>
          </cell>
          <cell r="AY321">
            <v>0</v>
          </cell>
          <cell r="AZ321">
            <v>0</v>
          </cell>
          <cell r="BA321">
            <v>0</v>
          </cell>
          <cell r="BD321" t="str">
            <v/>
          </cell>
          <cell r="BE321">
            <v>1</v>
          </cell>
          <cell r="BG321" t="str">
            <v>1100</v>
          </cell>
        </row>
        <row r="322">
          <cell r="B322" t="str">
            <v>G043240106100200</v>
          </cell>
          <cell r="C322" t="str">
            <v>04.宮城県</v>
          </cell>
          <cell r="D322" t="str">
            <v>324</v>
          </cell>
          <cell r="E322" t="str">
            <v>川崎町</v>
          </cell>
          <cell r="F322" t="str">
            <v>01</v>
          </cell>
          <cell r="G322" t="str">
            <v>公共 単独</v>
          </cell>
          <cell r="H322" t="str">
            <v>公共下水道</v>
          </cell>
          <cell r="I322" t="str">
            <v>単独</v>
          </cell>
          <cell r="J322" t="str">
            <v>002</v>
          </cell>
          <cell r="K322" t="str">
            <v>青根浄化センター</v>
          </cell>
          <cell r="M322" t="str">
            <v>1</v>
          </cell>
          <cell r="Q322">
            <v>36586</v>
          </cell>
          <cell r="R322" t="str">
            <v>平成</v>
          </cell>
          <cell r="S322">
            <v>12</v>
          </cell>
          <cell r="T322">
            <v>3</v>
          </cell>
          <cell r="AB322">
            <v>2446</v>
          </cell>
          <cell r="AC322" t="str">
            <v>名取川</v>
          </cell>
          <cell r="AE322" t="str">
            <v>イ</v>
          </cell>
          <cell r="AF322">
            <v>15</v>
          </cell>
          <cell r="AI322" t="str">
            <v>前川</v>
          </cell>
          <cell r="AK322" t="str">
            <v>碁石川</v>
          </cell>
          <cell r="AL322" t="str">
            <v>茂庭</v>
          </cell>
          <cell r="AN322">
            <v>40</v>
          </cell>
          <cell r="AO322" t="str">
            <v>仙台市</v>
          </cell>
          <cell r="AQ322" t="str">
            <v/>
          </cell>
          <cell r="AR322" t="str">
            <v>嫌気好気活性汚泥法</v>
          </cell>
          <cell r="AS322" t="str">
            <v>0432401002</v>
          </cell>
          <cell r="AT322" t="str">
            <v/>
          </cell>
          <cell r="AU322" t="str">
            <v>00</v>
          </cell>
          <cell r="AV322" t="str">
            <v>00</v>
          </cell>
          <cell r="AW322">
            <v>0</v>
          </cell>
          <cell r="AX322">
            <v>0</v>
          </cell>
          <cell r="AY322">
            <v>0</v>
          </cell>
          <cell r="AZ322">
            <v>0</v>
          </cell>
          <cell r="BA322">
            <v>0</v>
          </cell>
          <cell r="BD322" t="str">
            <v/>
          </cell>
          <cell r="BE322">
            <v>1</v>
          </cell>
          <cell r="BG322" t="str">
            <v>1000</v>
          </cell>
        </row>
        <row r="323">
          <cell r="B323" t="str">
            <v>G043620206100100</v>
          </cell>
          <cell r="C323" t="str">
            <v>04.宮城県</v>
          </cell>
          <cell r="D323" t="str">
            <v>362</v>
          </cell>
          <cell r="E323" t="str">
            <v>山元町</v>
          </cell>
          <cell r="F323" t="str">
            <v>02</v>
          </cell>
          <cell r="G323" t="str">
            <v>特環 単独</v>
          </cell>
          <cell r="H323" t="str">
            <v>特定環境保全公共下水道</v>
          </cell>
          <cell r="I323" t="str">
            <v>単独</v>
          </cell>
          <cell r="J323" t="str">
            <v>001</v>
          </cell>
          <cell r="K323" t="str">
            <v>山元浄化センター</v>
          </cell>
          <cell r="M323" t="str">
            <v>1</v>
          </cell>
          <cell r="N323" t="str">
            <v>1</v>
          </cell>
          <cell r="Q323">
            <v>34060</v>
          </cell>
          <cell r="R323" t="str">
            <v>平成</v>
          </cell>
          <cell r="S323">
            <v>5</v>
          </cell>
          <cell r="T323">
            <v>4</v>
          </cell>
          <cell r="AB323">
            <v>19000</v>
          </cell>
          <cell r="AC323" t="str">
            <v>設定なし</v>
          </cell>
          <cell r="AF323">
            <v>10</v>
          </cell>
          <cell r="AI323" t="str">
            <v>仙台湾南部</v>
          </cell>
          <cell r="AQ323" t="str">
            <v/>
          </cell>
          <cell r="AR323" t="str">
            <v>オキシディションディッチ法</v>
          </cell>
          <cell r="AS323" t="str">
            <v>0436202001</v>
          </cell>
          <cell r="AT323" t="str">
            <v/>
          </cell>
          <cell r="AU323" t="str">
            <v>10</v>
          </cell>
          <cell r="AV323" t="str">
            <v>10</v>
          </cell>
          <cell r="AW323">
            <v>0</v>
          </cell>
          <cell r="AX323">
            <v>0</v>
          </cell>
          <cell r="AY323">
            <v>0</v>
          </cell>
          <cell r="AZ323">
            <v>0</v>
          </cell>
          <cell r="BA323">
            <v>0</v>
          </cell>
          <cell r="BD323" t="str">
            <v/>
          </cell>
          <cell r="BE323">
            <v>1</v>
          </cell>
          <cell r="BG323" t="str">
            <v>1100</v>
          </cell>
        </row>
        <row r="324">
          <cell r="B324" t="str">
            <v>G044010106100100</v>
          </cell>
          <cell r="C324" t="str">
            <v>04.宮城県</v>
          </cell>
          <cell r="D324" t="str">
            <v>401</v>
          </cell>
          <cell r="E324" t="str">
            <v>松島町</v>
          </cell>
          <cell r="F324" t="str">
            <v>01</v>
          </cell>
          <cell r="G324" t="str">
            <v>公共 単独</v>
          </cell>
          <cell r="H324" t="str">
            <v>公共下水道</v>
          </cell>
          <cell r="I324" t="str">
            <v>単独</v>
          </cell>
          <cell r="J324" t="str">
            <v>001</v>
          </cell>
          <cell r="K324" t="str">
            <v>松島浄化センター</v>
          </cell>
          <cell r="M324" t="str">
            <v>1</v>
          </cell>
          <cell r="N324" t="str">
            <v>1</v>
          </cell>
          <cell r="Q324">
            <v>33298</v>
          </cell>
          <cell r="R324" t="str">
            <v>平成</v>
          </cell>
          <cell r="S324">
            <v>3</v>
          </cell>
          <cell r="T324">
            <v>3</v>
          </cell>
          <cell r="AB324">
            <v>23968</v>
          </cell>
          <cell r="AC324" t="str">
            <v>高城川</v>
          </cell>
          <cell r="AD324" t="str">
            <v>Ｃ</v>
          </cell>
          <cell r="AE324" t="str">
            <v>イ</v>
          </cell>
          <cell r="AF324">
            <v>15</v>
          </cell>
          <cell r="AJ324" t="str">
            <v>高城川</v>
          </cell>
          <cell r="AQ324" t="str">
            <v/>
          </cell>
          <cell r="AR324" t="str">
            <v>オキシディションディッチ法</v>
          </cell>
          <cell r="AS324" t="str">
            <v>0440101001</v>
          </cell>
          <cell r="AT324" t="str">
            <v/>
          </cell>
          <cell r="AU324" t="str">
            <v>10</v>
          </cell>
          <cell r="AV324" t="str">
            <v>10</v>
          </cell>
          <cell r="AW324">
            <v>0</v>
          </cell>
          <cell r="AX324">
            <v>0</v>
          </cell>
          <cell r="AY324">
            <v>0</v>
          </cell>
          <cell r="AZ324">
            <v>0</v>
          </cell>
          <cell r="BA324">
            <v>0</v>
          </cell>
          <cell r="BD324" t="str">
            <v/>
          </cell>
          <cell r="BE324">
            <v>1</v>
          </cell>
          <cell r="BG324" t="str">
            <v>1100</v>
          </cell>
        </row>
        <row r="325">
          <cell r="B325" t="str">
            <v>G044440206100100</v>
          </cell>
          <cell r="C325" t="str">
            <v>04.宮城県</v>
          </cell>
          <cell r="D325" t="str">
            <v>444</v>
          </cell>
          <cell r="E325" t="str">
            <v>色麻町</v>
          </cell>
          <cell r="F325" t="str">
            <v>02</v>
          </cell>
          <cell r="G325" t="str">
            <v>特環 単独</v>
          </cell>
          <cell r="H325" t="str">
            <v>特定環境保全公共下水道</v>
          </cell>
          <cell r="I325" t="str">
            <v>単独</v>
          </cell>
          <cell r="J325" t="str">
            <v>001</v>
          </cell>
          <cell r="K325" t="str">
            <v>色麻浄化センター</v>
          </cell>
          <cell r="M325" t="str">
            <v>1</v>
          </cell>
          <cell r="N325" t="str">
            <v>1</v>
          </cell>
          <cell r="Q325">
            <v>36586</v>
          </cell>
          <cell r="R325" t="str">
            <v>平成</v>
          </cell>
          <cell r="S325">
            <v>12</v>
          </cell>
          <cell r="T325">
            <v>3</v>
          </cell>
          <cell r="AB325">
            <v>7982</v>
          </cell>
          <cell r="AF325">
            <v>15</v>
          </cell>
          <cell r="AI325" t="str">
            <v>花川</v>
          </cell>
          <cell r="AK325" t="str">
            <v>鳴瀬川</v>
          </cell>
          <cell r="AQ325" t="str">
            <v/>
          </cell>
          <cell r="AR325" t="str">
            <v>オキシディションディッチ法</v>
          </cell>
          <cell r="AS325" t="str">
            <v>0444402001</v>
          </cell>
          <cell r="AT325" t="str">
            <v/>
          </cell>
          <cell r="AU325" t="str">
            <v>10</v>
          </cell>
          <cell r="AV325" t="str">
            <v>10</v>
          </cell>
          <cell r="AW325">
            <v>0</v>
          </cell>
          <cell r="AX325">
            <v>0</v>
          </cell>
          <cell r="AY325">
            <v>0</v>
          </cell>
          <cell r="AZ325">
            <v>0</v>
          </cell>
          <cell r="BA325">
            <v>0</v>
          </cell>
          <cell r="BD325" t="str">
            <v/>
          </cell>
          <cell r="BE325">
            <v>1</v>
          </cell>
          <cell r="BG325" t="str">
            <v>1100</v>
          </cell>
        </row>
        <row r="326">
          <cell r="B326" t="str">
            <v>G044450106100100</v>
          </cell>
          <cell r="C326" t="str">
            <v>04.宮城県</v>
          </cell>
          <cell r="D326" t="str">
            <v>445</v>
          </cell>
          <cell r="E326" t="str">
            <v>加美町</v>
          </cell>
          <cell r="F326" t="str">
            <v>01</v>
          </cell>
          <cell r="G326" t="str">
            <v>公共 単独</v>
          </cell>
          <cell r="H326" t="str">
            <v>公共下水道</v>
          </cell>
          <cell r="I326" t="str">
            <v>単独</v>
          </cell>
          <cell r="J326" t="str">
            <v>001</v>
          </cell>
          <cell r="K326" t="str">
            <v>中新田浄化センター</v>
          </cell>
          <cell r="M326" t="str">
            <v>1</v>
          </cell>
          <cell r="N326" t="str">
            <v>1</v>
          </cell>
          <cell r="Q326">
            <v>34029</v>
          </cell>
          <cell r="R326" t="str">
            <v>平成</v>
          </cell>
          <cell r="S326">
            <v>5</v>
          </cell>
          <cell r="T326">
            <v>3</v>
          </cell>
          <cell r="AB326">
            <v>17500</v>
          </cell>
          <cell r="AC326" t="str">
            <v>鳴瀬川中流</v>
          </cell>
          <cell r="AD326" t="str">
            <v>Ａ</v>
          </cell>
          <cell r="AE326" t="str">
            <v>イ</v>
          </cell>
          <cell r="AF326">
            <v>15</v>
          </cell>
          <cell r="AK326" t="str">
            <v>鳴瀬川</v>
          </cell>
          <cell r="AQ326" t="str">
            <v/>
          </cell>
          <cell r="AR326" t="str">
            <v>オキシディションディッチ法</v>
          </cell>
          <cell r="AS326" t="str">
            <v>0444501001</v>
          </cell>
          <cell r="AT326" t="str">
            <v/>
          </cell>
          <cell r="AU326" t="str">
            <v>10</v>
          </cell>
          <cell r="AV326" t="str">
            <v>10</v>
          </cell>
          <cell r="AW326">
            <v>0</v>
          </cell>
          <cell r="AX326">
            <v>0</v>
          </cell>
          <cell r="AY326">
            <v>0</v>
          </cell>
          <cell r="AZ326">
            <v>0</v>
          </cell>
          <cell r="BA326">
            <v>0</v>
          </cell>
          <cell r="BD326" t="str">
            <v/>
          </cell>
          <cell r="BE326">
            <v>1</v>
          </cell>
          <cell r="BG326" t="str">
            <v>1100</v>
          </cell>
        </row>
        <row r="327">
          <cell r="B327" t="str">
            <v>G044450206100200</v>
          </cell>
          <cell r="C327" t="str">
            <v>04.宮城県</v>
          </cell>
          <cell r="D327" t="str">
            <v>445</v>
          </cell>
          <cell r="E327" t="str">
            <v>加美町</v>
          </cell>
          <cell r="F327" t="str">
            <v>02</v>
          </cell>
          <cell r="G327" t="str">
            <v>特環 単独</v>
          </cell>
          <cell r="H327" t="str">
            <v>特定環境保全公共下水道</v>
          </cell>
          <cell r="I327" t="str">
            <v>単独</v>
          </cell>
          <cell r="J327" t="str">
            <v>002</v>
          </cell>
          <cell r="K327" t="str">
            <v>宮崎浄化センター</v>
          </cell>
          <cell r="M327" t="str">
            <v>1</v>
          </cell>
          <cell r="N327" t="str">
            <v>1</v>
          </cell>
          <cell r="Q327">
            <v>33329</v>
          </cell>
          <cell r="R327" t="str">
            <v>平成</v>
          </cell>
          <cell r="S327">
            <v>3</v>
          </cell>
          <cell r="T327">
            <v>4</v>
          </cell>
          <cell r="AB327">
            <v>7430</v>
          </cell>
          <cell r="AC327" t="str">
            <v>鳴瀬川中流</v>
          </cell>
          <cell r="AD327" t="str">
            <v>Ａ</v>
          </cell>
          <cell r="AE327" t="str">
            <v>イ</v>
          </cell>
          <cell r="AF327">
            <v>15</v>
          </cell>
          <cell r="AI327" t="str">
            <v>田川</v>
          </cell>
          <cell r="AQ327" t="str">
            <v/>
          </cell>
          <cell r="AR327" t="str">
            <v>オキシディションディッチ法</v>
          </cell>
          <cell r="AS327" t="str">
            <v>0444502002</v>
          </cell>
          <cell r="AT327" t="str">
            <v/>
          </cell>
          <cell r="AU327" t="str">
            <v>10</v>
          </cell>
          <cell r="AV327" t="str">
            <v>10</v>
          </cell>
          <cell r="AW327">
            <v>0</v>
          </cell>
          <cell r="AX327">
            <v>0</v>
          </cell>
          <cell r="AY327">
            <v>0</v>
          </cell>
          <cell r="AZ327">
            <v>0</v>
          </cell>
          <cell r="BA327">
            <v>0</v>
          </cell>
          <cell r="BD327" t="str">
            <v/>
          </cell>
          <cell r="BE327">
            <v>1</v>
          </cell>
          <cell r="BG327" t="str">
            <v>1100</v>
          </cell>
        </row>
        <row r="328">
          <cell r="B328" t="str">
            <v>G044450206100300</v>
          </cell>
          <cell r="C328" t="str">
            <v>04.宮城県</v>
          </cell>
          <cell r="D328" t="str">
            <v>445</v>
          </cell>
          <cell r="E328" t="str">
            <v>加美町</v>
          </cell>
          <cell r="F328" t="str">
            <v>02</v>
          </cell>
          <cell r="G328" t="str">
            <v>特環 単独</v>
          </cell>
          <cell r="H328" t="str">
            <v>特定環境保全公共下水道</v>
          </cell>
          <cell r="I328" t="str">
            <v>単独</v>
          </cell>
          <cell r="J328" t="str">
            <v>003</v>
          </cell>
          <cell r="K328" t="str">
            <v>小野田浄化センター</v>
          </cell>
          <cell r="M328" t="str">
            <v>1</v>
          </cell>
          <cell r="N328" t="str">
            <v>1</v>
          </cell>
          <cell r="Q328">
            <v>34394</v>
          </cell>
          <cell r="R328" t="str">
            <v>平成</v>
          </cell>
          <cell r="S328">
            <v>6</v>
          </cell>
          <cell r="T328">
            <v>3</v>
          </cell>
          <cell r="AB328">
            <v>10200</v>
          </cell>
          <cell r="AC328" t="str">
            <v>鳴瀬川中流</v>
          </cell>
          <cell r="AD328" t="str">
            <v>Ａ</v>
          </cell>
          <cell r="AE328" t="str">
            <v>イ</v>
          </cell>
          <cell r="AF328">
            <v>15</v>
          </cell>
          <cell r="AK328" t="str">
            <v>鳴瀬川</v>
          </cell>
          <cell r="AQ328" t="str">
            <v/>
          </cell>
          <cell r="AR328" t="str">
            <v>オキシディションディッチ法</v>
          </cell>
          <cell r="AS328" t="str">
            <v>0444502003</v>
          </cell>
          <cell r="AT328" t="str">
            <v/>
          </cell>
          <cell r="AU328" t="str">
            <v>10</v>
          </cell>
          <cell r="AV328" t="str">
            <v>10</v>
          </cell>
          <cell r="AW328">
            <v>0</v>
          </cell>
          <cell r="AX328">
            <v>0</v>
          </cell>
          <cell r="AY328">
            <v>0</v>
          </cell>
          <cell r="AZ328">
            <v>0</v>
          </cell>
          <cell r="BA328">
            <v>0</v>
          </cell>
          <cell r="BD328" t="str">
            <v/>
          </cell>
          <cell r="BE328">
            <v>1</v>
          </cell>
          <cell r="BG328" t="str">
            <v>1100</v>
          </cell>
        </row>
        <row r="329">
          <cell r="B329" t="str">
            <v>G045010106100100</v>
          </cell>
          <cell r="C329" t="str">
            <v>04.宮城県</v>
          </cell>
          <cell r="D329" t="str">
            <v>501</v>
          </cell>
          <cell r="E329" t="str">
            <v>涌谷町</v>
          </cell>
          <cell r="F329" t="str">
            <v>01</v>
          </cell>
          <cell r="G329" t="str">
            <v>公共 単独</v>
          </cell>
          <cell r="H329" t="str">
            <v>公共下水道</v>
          </cell>
          <cell r="I329" t="str">
            <v>単独</v>
          </cell>
          <cell r="J329" t="str">
            <v>001</v>
          </cell>
          <cell r="K329" t="str">
            <v>涌谷浄化センター</v>
          </cell>
          <cell r="M329" t="str">
            <v>1</v>
          </cell>
          <cell r="N329" t="str">
            <v>1</v>
          </cell>
          <cell r="Q329">
            <v>36220</v>
          </cell>
          <cell r="R329" t="str">
            <v>平成</v>
          </cell>
          <cell r="S329">
            <v>11</v>
          </cell>
          <cell r="T329">
            <v>3</v>
          </cell>
          <cell r="AB329">
            <v>18200</v>
          </cell>
          <cell r="AC329" t="str">
            <v>定川流域</v>
          </cell>
          <cell r="AF329">
            <v>15</v>
          </cell>
          <cell r="AI329" t="str">
            <v>青木川排水路</v>
          </cell>
          <cell r="AQ329" t="str">
            <v/>
          </cell>
          <cell r="AR329" t="str">
            <v>オキシディションディッチ法</v>
          </cell>
          <cell r="AS329" t="str">
            <v>0450101001</v>
          </cell>
          <cell r="AT329" t="str">
            <v/>
          </cell>
          <cell r="AU329" t="str">
            <v>10</v>
          </cell>
          <cell r="AV329" t="str">
            <v>10</v>
          </cell>
          <cell r="AW329">
            <v>0</v>
          </cell>
          <cell r="AX329">
            <v>0</v>
          </cell>
          <cell r="AY329">
            <v>0</v>
          </cell>
          <cell r="AZ329">
            <v>0</v>
          </cell>
          <cell r="BA329">
            <v>0</v>
          </cell>
          <cell r="BD329" t="str">
            <v/>
          </cell>
          <cell r="BE329">
            <v>1</v>
          </cell>
          <cell r="BG329" t="str">
            <v>1100</v>
          </cell>
        </row>
        <row r="330">
          <cell r="B330" t="str">
            <v>G046060106100100</v>
          </cell>
          <cell r="C330" t="str">
            <v>04.宮城県</v>
          </cell>
          <cell r="D330" t="str">
            <v>606</v>
          </cell>
          <cell r="E330" t="str">
            <v>南三陸町</v>
          </cell>
          <cell r="F330" t="str">
            <v>01</v>
          </cell>
          <cell r="G330" t="str">
            <v>公共 単独</v>
          </cell>
          <cell r="H330" t="str">
            <v>公共下水道</v>
          </cell>
          <cell r="I330" t="str">
            <v>単独</v>
          </cell>
          <cell r="J330" t="str">
            <v>001</v>
          </cell>
          <cell r="K330" t="str">
            <v>志津川浄化センター</v>
          </cell>
          <cell r="M330" t="str">
            <v>1</v>
          </cell>
          <cell r="Q330">
            <v>38322</v>
          </cell>
          <cell r="R330" t="str">
            <v>平成</v>
          </cell>
          <cell r="S330">
            <v>16</v>
          </cell>
          <cell r="T330">
            <v>12</v>
          </cell>
          <cell r="U330" t="str">
            <v>休止</v>
          </cell>
          <cell r="V330">
            <v>40603</v>
          </cell>
          <cell r="W330" t="str">
            <v>平成</v>
          </cell>
          <cell r="X330">
            <v>23</v>
          </cell>
          <cell r="Y330">
            <v>3</v>
          </cell>
          <cell r="AQ330" t="str">
            <v>休止</v>
          </cell>
          <cell r="AR330" t="str">
            <v/>
          </cell>
          <cell r="AS330" t="str">
            <v>0460601001</v>
          </cell>
          <cell r="AT330">
            <v>1</v>
          </cell>
          <cell r="AU330" t="str">
            <v>00</v>
          </cell>
          <cell r="AV330" t="str">
            <v>00</v>
          </cell>
          <cell r="AW330">
            <v>0</v>
          </cell>
          <cell r="AX330">
            <v>0</v>
          </cell>
          <cell r="AY330">
            <v>0</v>
          </cell>
          <cell r="AZ330">
            <v>0</v>
          </cell>
          <cell r="BA330">
            <v>0</v>
          </cell>
          <cell r="BD330" t="str">
            <v/>
          </cell>
          <cell r="BE330">
            <v>0</v>
          </cell>
          <cell r="BG330">
            <v>5555</v>
          </cell>
        </row>
        <row r="331">
          <cell r="B331" t="str">
            <v>G046060206100200</v>
          </cell>
          <cell r="C331" t="str">
            <v>04.宮城県</v>
          </cell>
          <cell r="D331" t="str">
            <v>606</v>
          </cell>
          <cell r="E331" t="str">
            <v>南三陸町</v>
          </cell>
          <cell r="F331" t="str">
            <v>02</v>
          </cell>
          <cell r="G331" t="str">
            <v>特環 単独</v>
          </cell>
          <cell r="H331" t="str">
            <v>特定環境保全公共下水道</v>
          </cell>
          <cell r="I331" t="str">
            <v>単独</v>
          </cell>
          <cell r="J331" t="str">
            <v>002</v>
          </cell>
          <cell r="K331" t="str">
            <v>歌津浄化センター</v>
          </cell>
          <cell r="M331" t="str">
            <v>1</v>
          </cell>
          <cell r="Q331">
            <v>37316</v>
          </cell>
          <cell r="R331" t="str">
            <v>平成</v>
          </cell>
          <cell r="S331">
            <v>14</v>
          </cell>
          <cell r="T331">
            <v>3</v>
          </cell>
          <cell r="AB331">
            <v>3609</v>
          </cell>
          <cell r="AC331" t="str">
            <v>設定なし</v>
          </cell>
          <cell r="AF331">
            <v>20</v>
          </cell>
          <cell r="AI331" t="str">
            <v>農業用排水路</v>
          </cell>
          <cell r="AJ331" t="str">
            <v>伊里前川</v>
          </cell>
          <cell r="AP331" t="str">
            <v>BOD認可値　25年度変更予定</v>
          </cell>
          <cell r="AQ331" t="str">
            <v/>
          </cell>
          <cell r="AR331" t="str">
            <v>嫌気好気ろ床法</v>
          </cell>
          <cell r="AS331" t="str">
            <v>0460602002</v>
          </cell>
          <cell r="AT331" t="str">
            <v/>
          </cell>
          <cell r="AU331" t="str">
            <v>00</v>
          </cell>
          <cell r="AV331" t="str">
            <v>00</v>
          </cell>
          <cell r="AW331">
            <v>0</v>
          </cell>
          <cell r="AX331">
            <v>0</v>
          </cell>
          <cell r="AY331">
            <v>0</v>
          </cell>
          <cell r="AZ331">
            <v>0</v>
          </cell>
          <cell r="BA331">
            <v>0</v>
          </cell>
          <cell r="BD331" t="str">
            <v/>
          </cell>
          <cell r="BE331">
            <v>1</v>
          </cell>
          <cell r="BG331" t="str">
            <v>1000</v>
          </cell>
        </row>
        <row r="332">
          <cell r="B332" t="str">
            <v>G050018106100100</v>
          </cell>
          <cell r="C332" t="str">
            <v>05.秋田県</v>
          </cell>
          <cell r="D332" t="str">
            <v>001</v>
          </cell>
          <cell r="E332" t="str">
            <v>秋田湾・雄物川流域</v>
          </cell>
          <cell r="F332" t="str">
            <v>81</v>
          </cell>
          <cell r="G332" t="str">
            <v>流域</v>
          </cell>
          <cell r="H332" t="str">
            <v>流域下水道</v>
          </cell>
          <cell r="I332" t="str">
            <v/>
          </cell>
          <cell r="J332" t="str">
            <v>001</v>
          </cell>
          <cell r="K332" t="str">
            <v>秋田臨海処理センター</v>
          </cell>
          <cell r="M332" t="str">
            <v>1</v>
          </cell>
          <cell r="N332" t="str">
            <v>1</v>
          </cell>
          <cell r="Q332">
            <v>30042</v>
          </cell>
          <cell r="R332" t="str">
            <v>昭和</v>
          </cell>
          <cell r="S332">
            <v>57</v>
          </cell>
          <cell r="T332">
            <v>4</v>
          </cell>
          <cell r="AB332">
            <v>444122</v>
          </cell>
          <cell r="AC332" t="str">
            <v>秋田湾・船川港泊地航路</v>
          </cell>
          <cell r="AD332" t="str">
            <v>Ｃ</v>
          </cell>
          <cell r="AE332" t="str">
            <v>ロ</v>
          </cell>
          <cell r="AF332">
            <v>15</v>
          </cell>
          <cell r="AI332" t="str">
            <v>秋田港</v>
          </cell>
          <cell r="AQ332" t="str">
            <v/>
          </cell>
          <cell r="AR332" t="str">
            <v>標準活性汚泥法</v>
          </cell>
          <cell r="AS332" t="str">
            <v>0500181001</v>
          </cell>
          <cell r="AT332" t="str">
            <v/>
          </cell>
          <cell r="AU332" t="str">
            <v>10</v>
          </cell>
          <cell r="AV332" t="str">
            <v>10</v>
          </cell>
          <cell r="AW332">
            <v>0</v>
          </cell>
          <cell r="AX332">
            <v>0</v>
          </cell>
          <cell r="AY332">
            <v>0</v>
          </cell>
          <cell r="AZ332">
            <v>0</v>
          </cell>
          <cell r="BA332">
            <v>0</v>
          </cell>
          <cell r="BD332" t="str">
            <v/>
          </cell>
          <cell r="BE332">
            <v>1</v>
          </cell>
          <cell r="BG332" t="str">
            <v>1100</v>
          </cell>
        </row>
        <row r="333">
          <cell r="B333" t="str">
            <v>G050018106100200</v>
          </cell>
          <cell r="C333" t="str">
            <v>05.秋田県</v>
          </cell>
          <cell r="D333" t="str">
            <v>001</v>
          </cell>
          <cell r="E333" t="str">
            <v>秋田湾・雄物川流域</v>
          </cell>
          <cell r="F333" t="str">
            <v>81</v>
          </cell>
          <cell r="G333" t="str">
            <v>流域</v>
          </cell>
          <cell r="H333" t="str">
            <v>流域下水道</v>
          </cell>
          <cell r="I333" t="str">
            <v/>
          </cell>
          <cell r="J333" t="str">
            <v>002</v>
          </cell>
          <cell r="K333" t="str">
            <v>大曲処理センター</v>
          </cell>
          <cell r="M333" t="str">
            <v>1</v>
          </cell>
          <cell r="N333" t="str">
            <v>1</v>
          </cell>
          <cell r="Q333">
            <v>32234</v>
          </cell>
          <cell r="R333" t="str">
            <v>昭和</v>
          </cell>
          <cell r="S333">
            <v>63</v>
          </cell>
          <cell r="T333">
            <v>4</v>
          </cell>
          <cell r="AB333">
            <v>64000</v>
          </cell>
          <cell r="AC333" t="str">
            <v>玉川下流</v>
          </cell>
          <cell r="AD333" t="str">
            <v>Ａ</v>
          </cell>
          <cell r="AE333" t="str">
            <v>ロ</v>
          </cell>
          <cell r="AF333">
            <v>14</v>
          </cell>
          <cell r="AK333" t="str">
            <v>玉川</v>
          </cell>
          <cell r="AL333" t="str">
            <v>秋田市雄和浄水場</v>
          </cell>
          <cell r="AO333" t="str">
            <v>秋田市雄和</v>
          </cell>
          <cell r="AQ333" t="str">
            <v/>
          </cell>
          <cell r="AR333" t="str">
            <v>標準活性汚泥法</v>
          </cell>
          <cell r="AS333" t="str">
            <v>0500181002</v>
          </cell>
          <cell r="AT333" t="str">
            <v/>
          </cell>
          <cell r="AU333" t="str">
            <v>10</v>
          </cell>
          <cell r="AV333" t="str">
            <v>10</v>
          </cell>
          <cell r="AW333">
            <v>0</v>
          </cell>
          <cell r="AX333">
            <v>0</v>
          </cell>
          <cell r="AY333">
            <v>0</v>
          </cell>
          <cell r="AZ333">
            <v>0</v>
          </cell>
          <cell r="BA333">
            <v>0</v>
          </cell>
          <cell r="BD333" t="str">
            <v/>
          </cell>
          <cell r="BE333">
            <v>1</v>
          </cell>
          <cell r="BG333" t="str">
            <v>1100</v>
          </cell>
        </row>
        <row r="334">
          <cell r="B334" t="str">
            <v>G050018106100300</v>
          </cell>
          <cell r="C334" t="str">
            <v>05.秋田県</v>
          </cell>
          <cell r="D334" t="str">
            <v>001</v>
          </cell>
          <cell r="E334" t="str">
            <v>秋田湾・雄物川流域</v>
          </cell>
          <cell r="F334" t="str">
            <v>81</v>
          </cell>
          <cell r="G334" t="str">
            <v>流域</v>
          </cell>
          <cell r="H334" t="str">
            <v>流域下水道</v>
          </cell>
          <cell r="I334" t="str">
            <v/>
          </cell>
          <cell r="J334" t="str">
            <v>003</v>
          </cell>
          <cell r="K334" t="str">
            <v>横手処理センター</v>
          </cell>
          <cell r="M334" t="str">
            <v>1</v>
          </cell>
          <cell r="N334" t="str">
            <v>1</v>
          </cell>
          <cell r="Q334">
            <v>32599</v>
          </cell>
          <cell r="R334" t="str">
            <v>平成</v>
          </cell>
          <cell r="S334">
            <v>1</v>
          </cell>
          <cell r="T334">
            <v>4</v>
          </cell>
          <cell r="AB334">
            <v>78000</v>
          </cell>
          <cell r="AC334" t="str">
            <v>横手川下流</v>
          </cell>
          <cell r="AD334" t="str">
            <v>Ｂ</v>
          </cell>
          <cell r="AE334" t="str">
            <v>ロ</v>
          </cell>
          <cell r="AF334">
            <v>15</v>
          </cell>
          <cell r="AK334" t="str">
            <v>大戸川</v>
          </cell>
          <cell r="AL334" t="str">
            <v>大仙市上水道雄物川取水口</v>
          </cell>
          <cell r="AO334" t="str">
            <v>大仙市</v>
          </cell>
          <cell r="AQ334" t="str">
            <v/>
          </cell>
          <cell r="AR334" t="str">
            <v>標準活性汚泥法</v>
          </cell>
          <cell r="AS334" t="str">
            <v>0500181003</v>
          </cell>
          <cell r="AT334" t="str">
            <v/>
          </cell>
          <cell r="AU334" t="str">
            <v>10</v>
          </cell>
          <cell r="AV334" t="str">
            <v>10</v>
          </cell>
          <cell r="AW334">
            <v>0</v>
          </cell>
          <cell r="AX334">
            <v>0</v>
          </cell>
          <cell r="AY334">
            <v>0</v>
          </cell>
          <cell r="AZ334">
            <v>0</v>
          </cell>
          <cell r="BA334">
            <v>0</v>
          </cell>
          <cell r="BD334" t="str">
            <v/>
          </cell>
          <cell r="BE334">
            <v>1</v>
          </cell>
          <cell r="BG334" t="str">
            <v>1100</v>
          </cell>
        </row>
        <row r="335">
          <cell r="B335" t="str">
            <v>G050028106100100</v>
          </cell>
          <cell r="C335" t="str">
            <v>05.秋田県</v>
          </cell>
          <cell r="D335" t="str">
            <v>002</v>
          </cell>
          <cell r="E335" t="str">
            <v>米代川流域</v>
          </cell>
          <cell r="F335" t="str">
            <v>81</v>
          </cell>
          <cell r="G335" t="str">
            <v>流域</v>
          </cell>
          <cell r="H335" t="str">
            <v>流域下水道</v>
          </cell>
          <cell r="I335" t="str">
            <v/>
          </cell>
          <cell r="J335" t="str">
            <v>001</v>
          </cell>
          <cell r="K335" t="str">
            <v>大館処理センター</v>
          </cell>
          <cell r="M335" t="str">
            <v>1</v>
          </cell>
          <cell r="N335" t="str">
            <v>1</v>
          </cell>
          <cell r="Q335">
            <v>33695</v>
          </cell>
          <cell r="R335" t="str">
            <v>平成</v>
          </cell>
          <cell r="S335">
            <v>4</v>
          </cell>
          <cell r="T335">
            <v>4</v>
          </cell>
          <cell r="AB335">
            <v>61600</v>
          </cell>
          <cell r="AC335" t="str">
            <v>米代川下流</v>
          </cell>
          <cell r="AD335" t="str">
            <v>Ｂ</v>
          </cell>
          <cell r="AE335" t="str">
            <v>イ</v>
          </cell>
          <cell r="AF335">
            <v>15</v>
          </cell>
          <cell r="AK335" t="str">
            <v>米代川</v>
          </cell>
          <cell r="AL335" t="str">
            <v>本道端取水棟</v>
          </cell>
          <cell r="AM335">
            <v>9</v>
          </cell>
          <cell r="AO335" t="str">
            <v>大館市</v>
          </cell>
          <cell r="AQ335" t="str">
            <v/>
          </cell>
          <cell r="AR335" t="str">
            <v>標準活性汚泥法</v>
          </cell>
          <cell r="AS335" t="str">
            <v>0500281001</v>
          </cell>
          <cell r="AT335" t="str">
            <v/>
          </cell>
          <cell r="AU335" t="str">
            <v>10</v>
          </cell>
          <cell r="AV335" t="str">
            <v>10</v>
          </cell>
          <cell r="AW335">
            <v>0</v>
          </cell>
          <cell r="AX335">
            <v>0</v>
          </cell>
          <cell r="AY335">
            <v>0</v>
          </cell>
          <cell r="AZ335">
            <v>0</v>
          </cell>
          <cell r="BA335">
            <v>0</v>
          </cell>
          <cell r="BD335" t="str">
            <v/>
          </cell>
          <cell r="BE335">
            <v>1</v>
          </cell>
          <cell r="BG335" t="str">
            <v>1100</v>
          </cell>
        </row>
        <row r="336">
          <cell r="B336" t="str">
            <v>G050028106100200</v>
          </cell>
          <cell r="C336" t="str">
            <v>05.秋田県</v>
          </cell>
          <cell r="D336" t="str">
            <v>002</v>
          </cell>
          <cell r="E336" t="str">
            <v>米代川流域</v>
          </cell>
          <cell r="F336" t="str">
            <v>81</v>
          </cell>
          <cell r="G336" t="str">
            <v>流域</v>
          </cell>
          <cell r="H336" t="str">
            <v>流域下水道</v>
          </cell>
          <cell r="I336" t="str">
            <v/>
          </cell>
          <cell r="J336" t="str">
            <v>002</v>
          </cell>
          <cell r="K336" t="str">
            <v>鹿角処理センター</v>
          </cell>
          <cell r="M336" t="str">
            <v>1</v>
          </cell>
          <cell r="N336" t="str">
            <v>1</v>
          </cell>
          <cell r="Q336">
            <v>34790</v>
          </cell>
          <cell r="R336" t="str">
            <v>平成</v>
          </cell>
          <cell r="S336">
            <v>7</v>
          </cell>
          <cell r="T336">
            <v>4</v>
          </cell>
          <cell r="AB336">
            <v>32900</v>
          </cell>
          <cell r="AC336" t="str">
            <v>米代川中流</v>
          </cell>
          <cell r="AD336" t="str">
            <v>Ａ</v>
          </cell>
          <cell r="AE336" t="str">
            <v>イ</v>
          </cell>
          <cell r="AF336">
            <v>15</v>
          </cell>
          <cell r="AK336" t="str">
            <v>米代川</v>
          </cell>
          <cell r="AL336" t="str">
            <v>花輪浄水場</v>
          </cell>
          <cell r="AM336">
            <v>8.5</v>
          </cell>
          <cell r="AO336" t="str">
            <v>鹿角市</v>
          </cell>
          <cell r="AQ336" t="str">
            <v/>
          </cell>
          <cell r="AR336" t="str">
            <v>標準活性汚泥法</v>
          </cell>
          <cell r="AS336" t="str">
            <v>0500281002</v>
          </cell>
          <cell r="AT336" t="str">
            <v/>
          </cell>
          <cell r="AU336" t="str">
            <v>10</v>
          </cell>
          <cell r="AV336" t="str">
            <v>10</v>
          </cell>
          <cell r="AW336">
            <v>0</v>
          </cell>
          <cell r="AX336">
            <v>0</v>
          </cell>
          <cell r="AY336">
            <v>0</v>
          </cell>
          <cell r="AZ336">
            <v>0</v>
          </cell>
          <cell r="BA336">
            <v>0</v>
          </cell>
          <cell r="BD336" t="str">
            <v/>
          </cell>
          <cell r="BE336">
            <v>1</v>
          </cell>
          <cell r="BG336" t="str">
            <v>1100</v>
          </cell>
        </row>
        <row r="337">
          <cell r="B337" t="str">
            <v>G052010106100100</v>
          </cell>
          <cell r="C337" t="str">
            <v>05.秋田県</v>
          </cell>
          <cell r="D337" t="str">
            <v>201</v>
          </cell>
          <cell r="E337" t="str">
            <v>秋田市</v>
          </cell>
          <cell r="F337" t="str">
            <v>01</v>
          </cell>
          <cell r="G337" t="str">
            <v>公共 単独</v>
          </cell>
          <cell r="H337" t="str">
            <v>公共下水道</v>
          </cell>
          <cell r="I337" t="str">
            <v>単独</v>
          </cell>
          <cell r="J337" t="str">
            <v>001</v>
          </cell>
          <cell r="K337" t="str">
            <v>八橋下水道終末処理場</v>
          </cell>
          <cell r="M337" t="str">
            <v>1</v>
          </cell>
          <cell r="N337" t="str">
            <v>1</v>
          </cell>
          <cell r="P337" t="str">
            <v>1</v>
          </cell>
          <cell r="Q337">
            <v>25659</v>
          </cell>
          <cell r="R337" t="str">
            <v>昭和</v>
          </cell>
          <cell r="S337">
            <v>45</v>
          </cell>
          <cell r="T337">
            <v>4</v>
          </cell>
          <cell r="AB337">
            <v>39100</v>
          </cell>
          <cell r="AC337" t="str">
            <v>草生津川</v>
          </cell>
          <cell r="AD337" t="str">
            <v>Ｂ</v>
          </cell>
          <cell r="AE337" t="str">
            <v>ロ</v>
          </cell>
          <cell r="AF337">
            <v>15</v>
          </cell>
          <cell r="AK337" t="str">
            <v>草生津川</v>
          </cell>
          <cell r="AL337" t="str">
            <v>雄物川</v>
          </cell>
          <cell r="AO337" t="str">
            <v>秋田市</v>
          </cell>
          <cell r="AQ337" t="str">
            <v/>
          </cell>
          <cell r="AR337" t="str">
            <v>標準活性汚泥法</v>
          </cell>
          <cell r="AS337" t="str">
            <v>0520101001</v>
          </cell>
          <cell r="AT337" t="str">
            <v/>
          </cell>
          <cell r="AU337" t="str">
            <v>10</v>
          </cell>
          <cell r="AV337" t="str">
            <v>10</v>
          </cell>
          <cell r="AW337">
            <v>1</v>
          </cell>
          <cell r="AX337">
            <v>0</v>
          </cell>
          <cell r="AY337">
            <v>0</v>
          </cell>
          <cell r="AZ337">
            <v>0</v>
          </cell>
          <cell r="BA337">
            <v>0</v>
          </cell>
          <cell r="BD337" t="str">
            <v/>
          </cell>
          <cell r="BE337">
            <v>1</v>
          </cell>
          <cell r="BG337" t="str">
            <v>1101</v>
          </cell>
        </row>
        <row r="338">
          <cell r="B338" t="str">
            <v>G052010206100200</v>
          </cell>
          <cell r="C338" t="str">
            <v>05.秋田県</v>
          </cell>
          <cell r="D338" t="str">
            <v>201</v>
          </cell>
          <cell r="E338" t="str">
            <v>秋田市</v>
          </cell>
          <cell r="F338" t="str">
            <v>02</v>
          </cell>
          <cell r="G338" t="str">
            <v>特環 単独</v>
          </cell>
          <cell r="H338" t="str">
            <v>特定環境保全公共下水道</v>
          </cell>
          <cell r="I338" t="str">
            <v>単独</v>
          </cell>
          <cell r="J338" t="str">
            <v>002</v>
          </cell>
          <cell r="K338" t="str">
            <v>羽川浄化センター</v>
          </cell>
          <cell r="M338" t="str">
            <v>1</v>
          </cell>
          <cell r="N338" t="str">
            <v>1</v>
          </cell>
          <cell r="Q338">
            <v>32599</v>
          </cell>
          <cell r="R338" t="str">
            <v>平成</v>
          </cell>
          <cell r="S338">
            <v>1</v>
          </cell>
          <cell r="T338">
            <v>4</v>
          </cell>
          <cell r="AB338">
            <v>1011</v>
          </cell>
          <cell r="AC338" t="str">
            <v>下浜鮎川</v>
          </cell>
          <cell r="AD338" t="str">
            <v>Ａ</v>
          </cell>
          <cell r="AE338" t="str">
            <v>イ</v>
          </cell>
          <cell r="AF338">
            <v>15</v>
          </cell>
          <cell r="AJ338" t="str">
            <v>下浜鮎川</v>
          </cell>
          <cell r="AQ338" t="str">
            <v/>
          </cell>
          <cell r="AR338" t="str">
            <v>接触酸化法</v>
          </cell>
          <cell r="AS338" t="str">
            <v>0520102002</v>
          </cell>
          <cell r="AT338" t="str">
            <v/>
          </cell>
          <cell r="AU338" t="str">
            <v>10</v>
          </cell>
          <cell r="AV338" t="str">
            <v>10</v>
          </cell>
          <cell r="AW338">
            <v>0</v>
          </cell>
          <cell r="AX338">
            <v>0</v>
          </cell>
          <cell r="AY338">
            <v>0</v>
          </cell>
          <cell r="AZ338">
            <v>0</v>
          </cell>
          <cell r="BA338">
            <v>0</v>
          </cell>
          <cell r="BD338" t="str">
            <v/>
          </cell>
          <cell r="BE338">
            <v>1</v>
          </cell>
          <cell r="BG338" t="str">
            <v>1100</v>
          </cell>
        </row>
        <row r="339">
          <cell r="B339" t="str">
            <v>G052010206100300</v>
          </cell>
          <cell r="C339" t="str">
            <v>05.秋田県</v>
          </cell>
          <cell r="D339" t="str">
            <v>201</v>
          </cell>
          <cell r="E339" t="str">
            <v>秋田市</v>
          </cell>
          <cell r="F339" t="str">
            <v>02</v>
          </cell>
          <cell r="G339" t="str">
            <v>特環 単独</v>
          </cell>
          <cell r="H339" t="str">
            <v>特定環境保全公共下水道</v>
          </cell>
          <cell r="I339" t="str">
            <v>単独</v>
          </cell>
          <cell r="J339" t="str">
            <v>003</v>
          </cell>
          <cell r="K339" t="str">
            <v>金足浄化センター</v>
          </cell>
          <cell r="M339" t="str">
            <v>1</v>
          </cell>
          <cell r="N339" t="str">
            <v>1</v>
          </cell>
          <cell r="Q339">
            <v>32964</v>
          </cell>
          <cell r="R339" t="str">
            <v>平成</v>
          </cell>
          <cell r="S339">
            <v>2</v>
          </cell>
          <cell r="T339">
            <v>4</v>
          </cell>
          <cell r="AB339">
            <v>3944</v>
          </cell>
          <cell r="AC339" t="str">
            <v>新城川</v>
          </cell>
          <cell r="AD339" t="str">
            <v>Ｂ</v>
          </cell>
          <cell r="AE339" t="str">
            <v>ロ</v>
          </cell>
          <cell r="AF339">
            <v>15</v>
          </cell>
          <cell r="AI339" t="str">
            <v>島合川</v>
          </cell>
          <cell r="AK339" t="str">
            <v>新城川</v>
          </cell>
          <cell r="AQ339" t="str">
            <v/>
          </cell>
          <cell r="AR339" t="str">
            <v>オキシディションディッチ法</v>
          </cell>
          <cell r="AS339" t="str">
            <v>0520102003</v>
          </cell>
          <cell r="AT339" t="str">
            <v/>
          </cell>
          <cell r="AU339" t="str">
            <v>10</v>
          </cell>
          <cell r="AV339" t="str">
            <v>10</v>
          </cell>
          <cell r="AW339">
            <v>0</v>
          </cell>
          <cell r="AX339">
            <v>0</v>
          </cell>
          <cell r="AY339">
            <v>0</v>
          </cell>
          <cell r="AZ339">
            <v>0</v>
          </cell>
          <cell r="BA339">
            <v>0</v>
          </cell>
          <cell r="BD339" t="str">
            <v/>
          </cell>
          <cell r="BE339">
            <v>1</v>
          </cell>
          <cell r="BG339" t="str">
            <v>1100</v>
          </cell>
        </row>
        <row r="340">
          <cell r="B340" t="str">
            <v>G052010206100400</v>
          </cell>
          <cell r="C340" t="str">
            <v>05.秋田県</v>
          </cell>
          <cell r="D340" t="str">
            <v>201</v>
          </cell>
          <cell r="E340" t="str">
            <v>秋田市</v>
          </cell>
          <cell r="F340" t="str">
            <v>02</v>
          </cell>
          <cell r="G340" t="str">
            <v>特環 単独</v>
          </cell>
          <cell r="H340" t="str">
            <v>特定環境保全公共下水道</v>
          </cell>
          <cell r="I340" t="str">
            <v>単独</v>
          </cell>
          <cell r="J340" t="str">
            <v>004</v>
          </cell>
          <cell r="K340" t="str">
            <v>仁別浄化センター</v>
          </cell>
          <cell r="M340" t="str">
            <v>1</v>
          </cell>
          <cell r="N340" t="str">
            <v>1</v>
          </cell>
          <cell r="Q340">
            <v>33451</v>
          </cell>
          <cell r="R340" t="str">
            <v>平成</v>
          </cell>
          <cell r="S340">
            <v>3</v>
          </cell>
          <cell r="T340">
            <v>8</v>
          </cell>
          <cell r="AB340">
            <v>7875</v>
          </cell>
          <cell r="AC340" t="str">
            <v>旭川</v>
          </cell>
          <cell r="AD340" t="str">
            <v>ＡＡ</v>
          </cell>
          <cell r="AE340" t="str">
            <v>イ</v>
          </cell>
          <cell r="AF340">
            <v>15</v>
          </cell>
          <cell r="AK340" t="str">
            <v>旭川</v>
          </cell>
          <cell r="AQ340" t="str">
            <v/>
          </cell>
          <cell r="AR340" t="str">
            <v>オキシディションディッチ法</v>
          </cell>
          <cell r="AS340" t="str">
            <v>0520102004</v>
          </cell>
          <cell r="AT340" t="str">
            <v/>
          </cell>
          <cell r="AU340" t="str">
            <v>10</v>
          </cell>
          <cell r="AV340" t="str">
            <v>10</v>
          </cell>
          <cell r="AW340">
            <v>0</v>
          </cell>
          <cell r="AX340">
            <v>0</v>
          </cell>
          <cell r="AY340">
            <v>0</v>
          </cell>
          <cell r="AZ340">
            <v>0</v>
          </cell>
          <cell r="BA340">
            <v>0</v>
          </cell>
          <cell r="BD340" t="str">
            <v/>
          </cell>
          <cell r="BE340">
            <v>1</v>
          </cell>
          <cell r="BG340" t="str">
            <v>1100</v>
          </cell>
        </row>
        <row r="341">
          <cell r="B341" t="str">
            <v>G052020106100100</v>
          </cell>
          <cell r="C341" t="str">
            <v>05.秋田県</v>
          </cell>
          <cell r="D341" t="str">
            <v>202</v>
          </cell>
          <cell r="E341" t="str">
            <v>能代市</v>
          </cell>
          <cell r="F341" t="str">
            <v>01</v>
          </cell>
          <cell r="G341" t="str">
            <v>公共 単独</v>
          </cell>
          <cell r="H341" t="str">
            <v>公共下水道</v>
          </cell>
          <cell r="I341" t="str">
            <v>単独</v>
          </cell>
          <cell r="J341" t="str">
            <v>001</v>
          </cell>
          <cell r="K341" t="str">
            <v>能代終末処理場</v>
          </cell>
          <cell r="M341" t="str">
            <v>1</v>
          </cell>
          <cell r="N341" t="str">
            <v>1</v>
          </cell>
          <cell r="Q341">
            <v>30956</v>
          </cell>
          <cell r="R341" t="str">
            <v>昭和</v>
          </cell>
          <cell r="S341">
            <v>59</v>
          </cell>
          <cell r="T341">
            <v>10</v>
          </cell>
          <cell r="AB341">
            <v>50880</v>
          </cell>
          <cell r="AC341" t="str">
            <v>米代川</v>
          </cell>
          <cell r="AD341" t="str">
            <v>Ｂ</v>
          </cell>
          <cell r="AE341" t="str">
            <v>ロ</v>
          </cell>
          <cell r="AF341">
            <v>15</v>
          </cell>
          <cell r="AK341" t="str">
            <v>米代川</v>
          </cell>
          <cell r="AL341" t="str">
            <v>鶴谷新田共同取水口</v>
          </cell>
          <cell r="AM341">
            <v>9.1999999999999993</v>
          </cell>
          <cell r="AO341" t="str">
            <v>能代市</v>
          </cell>
          <cell r="AQ341" t="str">
            <v/>
          </cell>
          <cell r="AR341" t="str">
            <v>標準活性汚泥法</v>
          </cell>
          <cell r="AS341" t="str">
            <v>0520201001</v>
          </cell>
          <cell r="AT341" t="str">
            <v/>
          </cell>
          <cell r="AU341" t="str">
            <v>10</v>
          </cell>
          <cell r="AV341" t="str">
            <v>10</v>
          </cell>
          <cell r="AW341">
            <v>0</v>
          </cell>
          <cell r="AX341">
            <v>0</v>
          </cell>
          <cell r="AY341">
            <v>0</v>
          </cell>
          <cell r="AZ341">
            <v>0</v>
          </cell>
          <cell r="BA341">
            <v>0</v>
          </cell>
          <cell r="BD341" t="str">
            <v/>
          </cell>
          <cell r="BE341">
            <v>1</v>
          </cell>
          <cell r="BG341" t="str">
            <v>1100</v>
          </cell>
        </row>
        <row r="342">
          <cell r="B342" t="str">
            <v>G052030206100100</v>
          </cell>
          <cell r="C342" t="str">
            <v>05.秋田県</v>
          </cell>
          <cell r="D342" t="str">
            <v>203</v>
          </cell>
          <cell r="E342" t="str">
            <v>横手市</v>
          </cell>
          <cell r="F342" t="str">
            <v>02</v>
          </cell>
          <cell r="G342" t="str">
            <v>特環 単独</v>
          </cell>
          <cell r="H342" t="str">
            <v>特定環境保全公共下水道</v>
          </cell>
          <cell r="I342" t="str">
            <v>単独</v>
          </cell>
          <cell r="J342" t="str">
            <v>001</v>
          </cell>
          <cell r="K342" t="str">
            <v>山内浄化センター</v>
          </cell>
          <cell r="M342" t="str">
            <v>1</v>
          </cell>
          <cell r="N342" t="str">
            <v>1</v>
          </cell>
          <cell r="O342" t="str">
            <v>1</v>
          </cell>
          <cell r="Q342">
            <v>36770</v>
          </cell>
          <cell r="R342" t="str">
            <v>平成</v>
          </cell>
          <cell r="S342">
            <v>12</v>
          </cell>
          <cell r="T342">
            <v>9</v>
          </cell>
          <cell r="AB342">
            <v>7871</v>
          </cell>
          <cell r="AC342" t="str">
            <v>横手川上流</v>
          </cell>
          <cell r="AD342" t="str">
            <v>ＡＡ</v>
          </cell>
          <cell r="AE342" t="str">
            <v>イ</v>
          </cell>
          <cell r="AF342">
            <v>15</v>
          </cell>
          <cell r="AK342" t="str">
            <v>横手川</v>
          </cell>
          <cell r="AN342">
            <v>4</v>
          </cell>
          <cell r="AO342" t="str">
            <v>横手市</v>
          </cell>
          <cell r="AQ342" t="str">
            <v/>
          </cell>
          <cell r="AR342" t="str">
            <v>土壌被覆型礫間接触法</v>
          </cell>
          <cell r="AS342" t="str">
            <v>0520302001</v>
          </cell>
          <cell r="AT342" t="str">
            <v/>
          </cell>
          <cell r="AU342" t="str">
            <v>11</v>
          </cell>
          <cell r="AV342" t="str">
            <v>11</v>
          </cell>
          <cell r="AW342">
            <v>0</v>
          </cell>
          <cell r="AX342">
            <v>0</v>
          </cell>
          <cell r="AY342">
            <v>0</v>
          </cell>
          <cell r="AZ342">
            <v>0</v>
          </cell>
          <cell r="BA342">
            <v>0</v>
          </cell>
          <cell r="BD342" t="str">
            <v/>
          </cell>
          <cell r="BE342">
            <v>0</v>
          </cell>
          <cell r="BG342" t="str">
            <v>1110</v>
          </cell>
        </row>
        <row r="343">
          <cell r="B343" t="str">
            <v>G052070106100100</v>
          </cell>
          <cell r="C343" t="str">
            <v>05.秋田県</v>
          </cell>
          <cell r="D343" t="str">
            <v>207</v>
          </cell>
          <cell r="E343" t="str">
            <v>湯沢市</v>
          </cell>
          <cell r="F343" t="str">
            <v>01</v>
          </cell>
          <cell r="G343" t="str">
            <v>公共 単独</v>
          </cell>
          <cell r="H343" t="str">
            <v>公共下水道</v>
          </cell>
          <cell r="I343" t="str">
            <v>単独</v>
          </cell>
          <cell r="J343" t="str">
            <v>001</v>
          </cell>
          <cell r="K343" t="str">
            <v>湯沢浄化センター</v>
          </cell>
          <cell r="M343" t="str">
            <v>1</v>
          </cell>
          <cell r="N343" t="str">
            <v>1</v>
          </cell>
          <cell r="Q343">
            <v>35156</v>
          </cell>
          <cell r="R343" t="str">
            <v>平成</v>
          </cell>
          <cell r="S343">
            <v>8</v>
          </cell>
          <cell r="T343">
            <v>4</v>
          </cell>
          <cell r="AB343">
            <v>47200</v>
          </cell>
          <cell r="AC343" t="str">
            <v>雄物川</v>
          </cell>
          <cell r="AD343" t="str">
            <v>Ａ</v>
          </cell>
          <cell r="AE343" t="str">
            <v>ロ</v>
          </cell>
          <cell r="AF343">
            <v>15</v>
          </cell>
          <cell r="AK343" t="str">
            <v>雄物川</v>
          </cell>
          <cell r="AQ343" t="str">
            <v/>
          </cell>
          <cell r="AR343" t="str">
            <v>オキシディションディッチ法</v>
          </cell>
          <cell r="AS343" t="str">
            <v>0520701001</v>
          </cell>
          <cell r="AT343" t="str">
            <v/>
          </cell>
          <cell r="AU343" t="str">
            <v>10</v>
          </cell>
          <cell r="AV343" t="str">
            <v>10</v>
          </cell>
          <cell r="AW343">
            <v>0</v>
          </cell>
          <cell r="AX343">
            <v>0</v>
          </cell>
          <cell r="AY343">
            <v>0</v>
          </cell>
          <cell r="AZ343">
            <v>0</v>
          </cell>
          <cell r="BA343">
            <v>0</v>
          </cell>
          <cell r="BD343" t="str">
            <v/>
          </cell>
          <cell r="BE343">
            <v>1</v>
          </cell>
          <cell r="BG343" t="str">
            <v>1100</v>
          </cell>
        </row>
        <row r="344">
          <cell r="B344" t="str">
            <v>G052070206100200</v>
          </cell>
          <cell r="C344" t="str">
            <v>05.秋田県</v>
          </cell>
          <cell r="D344" t="str">
            <v>207</v>
          </cell>
          <cell r="E344" t="str">
            <v>湯沢市</v>
          </cell>
          <cell r="F344" t="str">
            <v>02</v>
          </cell>
          <cell r="G344" t="str">
            <v>特環 単独</v>
          </cell>
          <cell r="H344" t="str">
            <v>特定環境保全公共下水道</v>
          </cell>
          <cell r="I344" t="str">
            <v>単独</v>
          </cell>
          <cell r="J344" t="str">
            <v>002</v>
          </cell>
          <cell r="K344" t="str">
            <v>小安浄化センター</v>
          </cell>
          <cell r="M344" t="str">
            <v>1</v>
          </cell>
          <cell r="N344" t="str">
            <v>1</v>
          </cell>
          <cell r="O344" t="str">
            <v>1</v>
          </cell>
          <cell r="Q344">
            <v>37530</v>
          </cell>
          <cell r="R344" t="str">
            <v>平成</v>
          </cell>
          <cell r="S344">
            <v>14</v>
          </cell>
          <cell r="T344">
            <v>10</v>
          </cell>
          <cell r="AB344">
            <v>4766</v>
          </cell>
          <cell r="AC344" t="str">
            <v>皆瀬川上流</v>
          </cell>
          <cell r="AD344" t="str">
            <v>ＡＡ</v>
          </cell>
          <cell r="AE344" t="str">
            <v>イ</v>
          </cell>
          <cell r="AF344">
            <v>15</v>
          </cell>
          <cell r="AI344" t="str">
            <v>皆瀬ダム</v>
          </cell>
          <cell r="AK344" t="str">
            <v>皆瀬川</v>
          </cell>
          <cell r="AL344" t="str">
            <v>岩崎</v>
          </cell>
          <cell r="AN344">
            <v>26</v>
          </cell>
          <cell r="AO344" t="str">
            <v>湯沢市</v>
          </cell>
          <cell r="AQ344" t="str">
            <v/>
          </cell>
          <cell r="AR344" t="str">
            <v>オキシディションディッチ法</v>
          </cell>
          <cell r="AS344" t="str">
            <v>0520702002</v>
          </cell>
          <cell r="AT344" t="str">
            <v/>
          </cell>
          <cell r="AU344" t="str">
            <v>11</v>
          </cell>
          <cell r="AV344" t="str">
            <v>11</v>
          </cell>
          <cell r="AW344">
            <v>0</v>
          </cell>
          <cell r="AX344">
            <v>0</v>
          </cell>
          <cell r="AY344">
            <v>0</v>
          </cell>
          <cell r="AZ344">
            <v>0</v>
          </cell>
          <cell r="BA344">
            <v>0</v>
          </cell>
          <cell r="BD344" t="str">
            <v/>
          </cell>
          <cell r="BE344">
            <v>1</v>
          </cell>
          <cell r="BG344" t="str">
            <v>1110</v>
          </cell>
        </row>
        <row r="345">
          <cell r="B345" t="str">
            <v>G052070206100300</v>
          </cell>
          <cell r="C345" t="str">
            <v>05.秋田県</v>
          </cell>
          <cell r="D345" t="str">
            <v>207</v>
          </cell>
          <cell r="E345" t="str">
            <v>湯沢市</v>
          </cell>
          <cell r="F345" t="str">
            <v>02</v>
          </cell>
          <cell r="G345" t="str">
            <v>特環 単独</v>
          </cell>
          <cell r="H345" t="str">
            <v>特定環境保全公共下水道</v>
          </cell>
          <cell r="I345" t="str">
            <v>単独</v>
          </cell>
          <cell r="J345" t="str">
            <v>003</v>
          </cell>
          <cell r="K345" t="str">
            <v>皆瀬浄化センター</v>
          </cell>
          <cell r="M345" t="str">
            <v>1</v>
          </cell>
          <cell r="N345" t="str">
            <v>1</v>
          </cell>
          <cell r="Q345">
            <v>38777</v>
          </cell>
          <cell r="R345" t="str">
            <v>平成</v>
          </cell>
          <cell r="S345">
            <v>18</v>
          </cell>
          <cell r="T345">
            <v>3</v>
          </cell>
          <cell r="AB345">
            <v>1775</v>
          </cell>
          <cell r="AC345" t="str">
            <v>皆瀬川上流</v>
          </cell>
          <cell r="AD345" t="str">
            <v>ＡＡ</v>
          </cell>
          <cell r="AE345" t="str">
            <v>イ</v>
          </cell>
          <cell r="AF345">
            <v>15</v>
          </cell>
          <cell r="AI345" t="str">
            <v>杉の子沢川</v>
          </cell>
          <cell r="AK345" t="str">
            <v>皆瀬川</v>
          </cell>
          <cell r="AL345" t="str">
            <v>岩崎</v>
          </cell>
          <cell r="AN345">
            <v>16</v>
          </cell>
          <cell r="AO345" t="str">
            <v>湯沢市</v>
          </cell>
          <cell r="AQ345" t="str">
            <v/>
          </cell>
          <cell r="AR345" t="str">
            <v>その他処理方法</v>
          </cell>
          <cell r="AS345" t="str">
            <v>0520702003</v>
          </cell>
          <cell r="AT345" t="str">
            <v/>
          </cell>
          <cell r="AU345" t="str">
            <v>10</v>
          </cell>
          <cell r="AV345" t="str">
            <v>10</v>
          </cell>
          <cell r="AW345">
            <v>0</v>
          </cell>
          <cell r="AX345">
            <v>0</v>
          </cell>
          <cell r="AY345">
            <v>0</v>
          </cell>
          <cell r="AZ345">
            <v>0</v>
          </cell>
          <cell r="BA345">
            <v>0</v>
          </cell>
          <cell r="BD345" t="str">
            <v/>
          </cell>
          <cell r="BE345">
            <v>1</v>
          </cell>
          <cell r="BG345" t="str">
            <v>1100</v>
          </cell>
        </row>
        <row r="346">
          <cell r="B346" t="str">
            <v>G052070206100400</v>
          </cell>
          <cell r="C346" t="str">
            <v>05.秋田県</v>
          </cell>
          <cell r="D346" t="str">
            <v>207</v>
          </cell>
          <cell r="E346" t="str">
            <v>湯沢市</v>
          </cell>
          <cell r="F346" t="str">
            <v>02</v>
          </cell>
          <cell r="G346" t="str">
            <v>特環 単独</v>
          </cell>
          <cell r="H346" t="str">
            <v>特定環境保全公共下水道</v>
          </cell>
          <cell r="I346" t="str">
            <v>単独</v>
          </cell>
          <cell r="J346" t="str">
            <v>004</v>
          </cell>
          <cell r="K346" t="str">
            <v>稲川浄化センター</v>
          </cell>
          <cell r="M346" t="str">
            <v>1</v>
          </cell>
          <cell r="N346" t="str">
            <v>1</v>
          </cell>
          <cell r="Q346">
            <v>39142</v>
          </cell>
          <cell r="R346" t="str">
            <v>平成</v>
          </cell>
          <cell r="S346">
            <v>19</v>
          </cell>
          <cell r="T346">
            <v>3</v>
          </cell>
          <cell r="AB346">
            <v>14961</v>
          </cell>
          <cell r="AC346" t="str">
            <v>皆瀬川上流</v>
          </cell>
          <cell r="AD346" t="str">
            <v>ＡＡ</v>
          </cell>
          <cell r="AE346" t="str">
            <v>イ</v>
          </cell>
          <cell r="AF346">
            <v>15</v>
          </cell>
          <cell r="AK346" t="str">
            <v>皆瀬川</v>
          </cell>
          <cell r="AL346" t="str">
            <v>岩崎</v>
          </cell>
          <cell r="AN346">
            <v>6</v>
          </cell>
          <cell r="AO346" t="str">
            <v>湯沢市</v>
          </cell>
          <cell r="AQ346" t="str">
            <v/>
          </cell>
          <cell r="AR346" t="str">
            <v>オキシディションディッチ法</v>
          </cell>
          <cell r="AS346" t="str">
            <v>0520702004</v>
          </cell>
          <cell r="AT346" t="str">
            <v/>
          </cell>
          <cell r="AU346" t="str">
            <v>10</v>
          </cell>
          <cell r="AV346" t="str">
            <v>10</v>
          </cell>
          <cell r="AW346">
            <v>0</v>
          </cell>
          <cell r="AX346">
            <v>0</v>
          </cell>
          <cell r="AY346">
            <v>0</v>
          </cell>
          <cell r="AZ346">
            <v>0</v>
          </cell>
          <cell r="BA346">
            <v>0</v>
          </cell>
          <cell r="BD346" t="str">
            <v/>
          </cell>
          <cell r="BE346">
            <v>1</v>
          </cell>
          <cell r="BG346" t="str">
            <v>1100</v>
          </cell>
        </row>
        <row r="347">
          <cell r="B347" t="str">
            <v>G052070206100500</v>
          </cell>
          <cell r="C347" t="str">
            <v>05.秋田県</v>
          </cell>
          <cell r="D347" t="str">
            <v>207</v>
          </cell>
          <cell r="E347" t="str">
            <v>湯沢市</v>
          </cell>
          <cell r="F347" t="str">
            <v>02</v>
          </cell>
          <cell r="G347" t="str">
            <v>特環 単独</v>
          </cell>
          <cell r="H347" t="str">
            <v>特定環境保全公共下水道</v>
          </cell>
          <cell r="I347" t="str">
            <v>単独</v>
          </cell>
          <cell r="J347" t="str">
            <v>005</v>
          </cell>
          <cell r="K347" t="str">
            <v>院内浄化センター</v>
          </cell>
          <cell r="M347" t="str">
            <v>1</v>
          </cell>
          <cell r="N347" t="str">
            <v>1</v>
          </cell>
          <cell r="Q347">
            <v>39692</v>
          </cell>
          <cell r="R347" t="str">
            <v>平成</v>
          </cell>
          <cell r="S347">
            <v>20</v>
          </cell>
          <cell r="T347">
            <v>9</v>
          </cell>
          <cell r="AB347">
            <v>2600</v>
          </cell>
          <cell r="AC347" t="str">
            <v>雄物川</v>
          </cell>
          <cell r="AD347" t="str">
            <v>Ａ</v>
          </cell>
          <cell r="AE347" t="str">
            <v>ロ</v>
          </cell>
          <cell r="AF347">
            <v>15</v>
          </cell>
          <cell r="AK347" t="str">
            <v>雄物川</v>
          </cell>
          <cell r="AQ347" t="str">
            <v/>
          </cell>
          <cell r="AR347" t="str">
            <v>オキシディションディッチ法</v>
          </cell>
          <cell r="AS347" t="str">
            <v>0520702005</v>
          </cell>
          <cell r="AT347" t="str">
            <v/>
          </cell>
          <cell r="AU347" t="str">
            <v>10</v>
          </cell>
          <cell r="AV347" t="str">
            <v>10</v>
          </cell>
          <cell r="AW347">
            <v>0</v>
          </cell>
          <cell r="AX347">
            <v>0</v>
          </cell>
          <cell r="AY347">
            <v>0</v>
          </cell>
          <cell r="AZ347">
            <v>0</v>
          </cell>
          <cell r="BA347">
            <v>0</v>
          </cell>
          <cell r="BD347" t="str">
            <v/>
          </cell>
          <cell r="BE347">
            <v>1</v>
          </cell>
          <cell r="BG347" t="str">
            <v>1100</v>
          </cell>
        </row>
        <row r="348">
          <cell r="B348" t="str">
            <v>G052090106100100</v>
          </cell>
          <cell r="C348" t="str">
            <v>05.秋田県</v>
          </cell>
          <cell r="D348" t="str">
            <v>209</v>
          </cell>
          <cell r="E348" t="str">
            <v>鹿角市</v>
          </cell>
          <cell r="F348" t="str">
            <v>01</v>
          </cell>
          <cell r="G348" t="str">
            <v>公共 単独</v>
          </cell>
          <cell r="H348" t="str">
            <v>公共下水道</v>
          </cell>
          <cell r="I348" t="str">
            <v>単独</v>
          </cell>
          <cell r="J348" t="str">
            <v>001</v>
          </cell>
          <cell r="K348" t="str">
            <v>湯瀬浄化センター</v>
          </cell>
          <cell r="M348" t="str">
            <v>1</v>
          </cell>
          <cell r="Q348">
            <v>40269</v>
          </cell>
          <cell r="R348" t="str">
            <v>平成</v>
          </cell>
          <cell r="S348">
            <v>22</v>
          </cell>
          <cell r="T348">
            <v>4</v>
          </cell>
          <cell r="AB348">
            <v>1642</v>
          </cell>
          <cell r="AC348" t="str">
            <v>米代川上流</v>
          </cell>
          <cell r="AD348" t="str">
            <v>ＡＡ</v>
          </cell>
          <cell r="AE348" t="str">
            <v>イ</v>
          </cell>
          <cell r="AF348">
            <v>15</v>
          </cell>
          <cell r="AK348" t="str">
            <v>米代川</v>
          </cell>
          <cell r="AQ348" t="str">
            <v/>
          </cell>
          <cell r="AR348" t="str">
            <v>オキシディションディッチ法</v>
          </cell>
          <cell r="AS348" t="str">
            <v>0520901001</v>
          </cell>
          <cell r="AT348" t="str">
            <v/>
          </cell>
          <cell r="AU348" t="str">
            <v>00</v>
          </cell>
          <cell r="AV348" t="str">
            <v>00</v>
          </cell>
          <cell r="AW348">
            <v>0</v>
          </cell>
          <cell r="AX348">
            <v>0</v>
          </cell>
          <cell r="AY348">
            <v>0</v>
          </cell>
          <cell r="AZ348">
            <v>0</v>
          </cell>
          <cell r="BA348">
            <v>0</v>
          </cell>
          <cell r="BB348" t="str">
            <v>脱水休止</v>
          </cell>
          <cell r="BD348" t="str">
            <v>脱水休止</v>
          </cell>
          <cell r="BE348">
            <v>1</v>
          </cell>
          <cell r="BG348" t="str">
            <v>1000</v>
          </cell>
        </row>
        <row r="349">
          <cell r="B349" t="str">
            <v>G052100106100100</v>
          </cell>
          <cell r="C349" t="str">
            <v>05.秋田県</v>
          </cell>
          <cell r="D349" t="str">
            <v>210</v>
          </cell>
          <cell r="E349" t="str">
            <v>由利本荘市</v>
          </cell>
          <cell r="F349" t="str">
            <v>01</v>
          </cell>
          <cell r="G349" t="str">
            <v>公共 単独</v>
          </cell>
          <cell r="H349" t="str">
            <v>公共下水道</v>
          </cell>
          <cell r="I349" t="str">
            <v>単独</v>
          </cell>
          <cell r="J349" t="str">
            <v>001</v>
          </cell>
          <cell r="K349" t="str">
            <v>水林浄化センター</v>
          </cell>
          <cell r="M349" t="str">
            <v>1</v>
          </cell>
          <cell r="N349" t="str">
            <v>1</v>
          </cell>
          <cell r="O349" t="str">
            <v>1</v>
          </cell>
          <cell r="Q349">
            <v>33329</v>
          </cell>
          <cell r="R349" t="str">
            <v>平成</v>
          </cell>
          <cell r="S349">
            <v>3</v>
          </cell>
          <cell r="T349">
            <v>4</v>
          </cell>
          <cell r="AB349">
            <v>21955</v>
          </cell>
          <cell r="AC349" t="str">
            <v>子吉川下流</v>
          </cell>
          <cell r="AD349" t="str">
            <v>Ｂ</v>
          </cell>
          <cell r="AE349" t="str">
            <v>ロ</v>
          </cell>
          <cell r="AF349">
            <v>15</v>
          </cell>
          <cell r="AK349" t="str">
            <v>子吉川</v>
          </cell>
          <cell r="AL349" t="str">
            <v>玉ノ池揚水機場</v>
          </cell>
          <cell r="AM349">
            <v>11</v>
          </cell>
          <cell r="AO349" t="str">
            <v>由利本荘市</v>
          </cell>
          <cell r="AQ349" t="str">
            <v/>
          </cell>
          <cell r="AR349" t="str">
            <v>標準活性汚泥法</v>
          </cell>
          <cell r="AS349" t="str">
            <v>0521001001</v>
          </cell>
          <cell r="AT349" t="str">
            <v/>
          </cell>
          <cell r="AU349" t="str">
            <v>11</v>
          </cell>
          <cell r="AV349" t="str">
            <v>10</v>
          </cell>
          <cell r="AW349">
            <v>0</v>
          </cell>
          <cell r="AX349">
            <v>0</v>
          </cell>
          <cell r="AY349">
            <v>-1</v>
          </cell>
          <cell r="AZ349">
            <v>0</v>
          </cell>
          <cell r="BA349">
            <v>1</v>
          </cell>
          <cell r="BC349" t="str">
            <v>コンポスト休止</v>
          </cell>
          <cell r="BD349" t="str">
            <v>コンポスト休止</v>
          </cell>
          <cell r="BE349">
            <v>1</v>
          </cell>
          <cell r="BG349" t="str">
            <v>1110</v>
          </cell>
        </row>
        <row r="350">
          <cell r="B350" t="str">
            <v>G052100106100200</v>
          </cell>
          <cell r="C350" t="str">
            <v>05.秋田県</v>
          </cell>
          <cell r="D350" t="str">
            <v>210</v>
          </cell>
          <cell r="E350" t="str">
            <v>由利本荘市</v>
          </cell>
          <cell r="F350" t="str">
            <v>01</v>
          </cell>
          <cell r="G350" t="str">
            <v>公共 単独</v>
          </cell>
          <cell r="H350" t="str">
            <v>公共下水道</v>
          </cell>
          <cell r="I350" t="str">
            <v>単独</v>
          </cell>
          <cell r="J350" t="str">
            <v>002</v>
          </cell>
          <cell r="K350" t="str">
            <v>矢島浄化センター</v>
          </cell>
          <cell r="M350" t="str">
            <v>1</v>
          </cell>
          <cell r="N350" t="str">
            <v>1</v>
          </cell>
          <cell r="Q350">
            <v>36617</v>
          </cell>
          <cell r="R350" t="str">
            <v>平成</v>
          </cell>
          <cell r="S350">
            <v>12</v>
          </cell>
          <cell r="T350">
            <v>4</v>
          </cell>
          <cell r="AB350">
            <v>13700</v>
          </cell>
          <cell r="AC350" t="str">
            <v>子吉川下流</v>
          </cell>
          <cell r="AD350" t="str">
            <v>Ａ</v>
          </cell>
          <cell r="AE350" t="str">
            <v>ロ</v>
          </cell>
          <cell r="AF350">
            <v>15</v>
          </cell>
          <cell r="AK350" t="str">
            <v>子吉川</v>
          </cell>
          <cell r="AL350" t="str">
            <v>滝沢堰頭首口</v>
          </cell>
          <cell r="AN350">
            <v>4.5</v>
          </cell>
          <cell r="AO350" t="str">
            <v>由利本荘市（旧由利町）</v>
          </cell>
          <cell r="AQ350" t="str">
            <v/>
          </cell>
          <cell r="AR350" t="str">
            <v>オキシディションディッチ法</v>
          </cell>
          <cell r="AS350" t="str">
            <v>0521001002</v>
          </cell>
          <cell r="AT350" t="str">
            <v/>
          </cell>
          <cell r="AU350" t="str">
            <v>10</v>
          </cell>
          <cell r="AV350" t="str">
            <v>10</v>
          </cell>
          <cell r="AW350">
            <v>0</v>
          </cell>
          <cell r="AX350">
            <v>0</v>
          </cell>
          <cell r="AY350">
            <v>0</v>
          </cell>
          <cell r="AZ350">
            <v>0</v>
          </cell>
          <cell r="BA350">
            <v>0</v>
          </cell>
          <cell r="BD350" t="str">
            <v/>
          </cell>
          <cell r="BE350">
            <v>1</v>
          </cell>
          <cell r="BG350" t="str">
            <v>1100</v>
          </cell>
        </row>
        <row r="351">
          <cell r="B351" t="str">
            <v>G052100206100300</v>
          </cell>
          <cell r="C351" t="str">
            <v>05.秋田県</v>
          </cell>
          <cell r="D351" t="str">
            <v>210</v>
          </cell>
          <cell r="E351" t="str">
            <v>由利本荘市</v>
          </cell>
          <cell r="F351" t="str">
            <v>02</v>
          </cell>
          <cell r="G351" t="str">
            <v>特環 単独</v>
          </cell>
          <cell r="H351" t="str">
            <v>特定環境保全公共下水道</v>
          </cell>
          <cell r="I351" t="str">
            <v>単独</v>
          </cell>
          <cell r="J351" t="str">
            <v>003</v>
          </cell>
          <cell r="K351" t="str">
            <v>道川浄化センター</v>
          </cell>
          <cell r="M351" t="str">
            <v>1</v>
          </cell>
          <cell r="N351" t="str">
            <v>1</v>
          </cell>
          <cell r="Q351">
            <v>33695</v>
          </cell>
          <cell r="R351" t="str">
            <v>平成</v>
          </cell>
          <cell r="S351">
            <v>4</v>
          </cell>
          <cell r="T351">
            <v>4</v>
          </cell>
          <cell r="AB351">
            <v>7618</v>
          </cell>
          <cell r="AC351" t="str">
            <v>勝手川</v>
          </cell>
          <cell r="AD351" t="str">
            <v>Ａ</v>
          </cell>
          <cell r="AE351" t="str">
            <v>イ</v>
          </cell>
          <cell r="AF351">
            <v>15</v>
          </cell>
          <cell r="AJ351" t="str">
            <v>勝手川</v>
          </cell>
          <cell r="AQ351" t="str">
            <v/>
          </cell>
          <cell r="AR351" t="str">
            <v>接触酸化法</v>
          </cell>
          <cell r="AS351" t="str">
            <v>0521002003</v>
          </cell>
          <cell r="AT351" t="str">
            <v/>
          </cell>
          <cell r="AU351" t="str">
            <v>10</v>
          </cell>
          <cell r="AV351" t="str">
            <v>10</v>
          </cell>
          <cell r="AW351">
            <v>0</v>
          </cell>
          <cell r="AX351">
            <v>0</v>
          </cell>
          <cell r="AY351">
            <v>0</v>
          </cell>
          <cell r="AZ351">
            <v>0</v>
          </cell>
          <cell r="BA351">
            <v>0</v>
          </cell>
          <cell r="BD351" t="str">
            <v/>
          </cell>
          <cell r="BE351">
            <v>1</v>
          </cell>
          <cell r="BG351" t="str">
            <v>1100</v>
          </cell>
        </row>
        <row r="352">
          <cell r="B352" t="str">
            <v>G052100206100400</v>
          </cell>
          <cell r="C352" t="str">
            <v>05.秋田県</v>
          </cell>
          <cell r="D352" t="str">
            <v>210</v>
          </cell>
          <cell r="E352" t="str">
            <v>由利本荘市</v>
          </cell>
          <cell r="F352" t="str">
            <v>02</v>
          </cell>
          <cell r="G352" t="str">
            <v>特環 単独</v>
          </cell>
          <cell r="H352" t="str">
            <v>特定環境保全公共下水道</v>
          </cell>
          <cell r="I352" t="str">
            <v>単独</v>
          </cell>
          <cell r="J352" t="str">
            <v>004</v>
          </cell>
          <cell r="K352" t="str">
            <v>前郷浄化センター</v>
          </cell>
          <cell r="M352" t="str">
            <v>1</v>
          </cell>
          <cell r="N352" t="str">
            <v>1</v>
          </cell>
          <cell r="Q352">
            <v>34790</v>
          </cell>
          <cell r="R352" t="str">
            <v>平成</v>
          </cell>
          <cell r="S352">
            <v>7</v>
          </cell>
          <cell r="T352">
            <v>4</v>
          </cell>
          <cell r="AB352">
            <v>4060</v>
          </cell>
          <cell r="AC352" t="str">
            <v>子吉川中流</v>
          </cell>
          <cell r="AD352" t="str">
            <v>Ａ</v>
          </cell>
          <cell r="AE352" t="str">
            <v>ロ</v>
          </cell>
          <cell r="AF352">
            <v>15</v>
          </cell>
          <cell r="AI352" t="str">
            <v>古川</v>
          </cell>
          <cell r="AK352" t="str">
            <v>子吉川</v>
          </cell>
          <cell r="AL352" t="str">
            <v>玉ノ池揚水機場、大台取水口</v>
          </cell>
          <cell r="AM352">
            <v>7</v>
          </cell>
          <cell r="AN352">
            <v>5</v>
          </cell>
          <cell r="AO352" t="str">
            <v>由利本荘市</v>
          </cell>
          <cell r="AQ352" t="str">
            <v/>
          </cell>
          <cell r="AR352" t="str">
            <v>接触酸化法</v>
          </cell>
          <cell r="AS352" t="str">
            <v>0521002004</v>
          </cell>
          <cell r="AT352" t="str">
            <v/>
          </cell>
          <cell r="AU352" t="str">
            <v>10</v>
          </cell>
          <cell r="AV352" t="str">
            <v>10</v>
          </cell>
          <cell r="AW352">
            <v>0</v>
          </cell>
          <cell r="AX352">
            <v>0</v>
          </cell>
          <cell r="AY352">
            <v>0</v>
          </cell>
          <cell r="AZ352">
            <v>0</v>
          </cell>
          <cell r="BA352">
            <v>0</v>
          </cell>
          <cell r="BD352" t="str">
            <v/>
          </cell>
          <cell r="BE352">
            <v>1</v>
          </cell>
          <cell r="BG352" t="str">
            <v>1100</v>
          </cell>
        </row>
        <row r="353">
          <cell r="B353" t="str">
            <v>G052100206100500</v>
          </cell>
          <cell r="C353" t="str">
            <v>05.秋田県</v>
          </cell>
          <cell r="D353" t="str">
            <v>210</v>
          </cell>
          <cell r="E353" t="str">
            <v>由利本荘市</v>
          </cell>
          <cell r="F353" t="str">
            <v>02</v>
          </cell>
          <cell r="G353" t="str">
            <v>特環 単独</v>
          </cell>
          <cell r="H353" t="str">
            <v>特定環境保全公共下水道</v>
          </cell>
          <cell r="I353" t="str">
            <v>単独</v>
          </cell>
          <cell r="J353" t="str">
            <v>005</v>
          </cell>
          <cell r="K353" t="str">
            <v>西目浄化センター</v>
          </cell>
          <cell r="M353" t="str">
            <v>1</v>
          </cell>
          <cell r="N353" t="str">
            <v>1</v>
          </cell>
          <cell r="P353" t="str">
            <v>1</v>
          </cell>
          <cell r="Q353">
            <v>34943</v>
          </cell>
          <cell r="R353" t="str">
            <v>平成</v>
          </cell>
          <cell r="S353">
            <v>7</v>
          </cell>
          <cell r="T353">
            <v>9</v>
          </cell>
          <cell r="AB353">
            <v>7456</v>
          </cell>
          <cell r="AC353" t="str">
            <v>西目川</v>
          </cell>
          <cell r="AD353" t="str">
            <v>Ａ</v>
          </cell>
          <cell r="AE353" t="str">
            <v>ロ</v>
          </cell>
          <cell r="AF353">
            <v>15</v>
          </cell>
          <cell r="AJ353" t="str">
            <v>西目川</v>
          </cell>
          <cell r="AQ353" t="str">
            <v/>
          </cell>
          <cell r="AR353" t="str">
            <v>オキシディションディッチ法</v>
          </cell>
          <cell r="AS353" t="str">
            <v>0521002005</v>
          </cell>
          <cell r="AT353" t="str">
            <v/>
          </cell>
          <cell r="AU353" t="str">
            <v>10</v>
          </cell>
          <cell r="AV353" t="str">
            <v>10</v>
          </cell>
          <cell r="AW353">
            <v>1</v>
          </cell>
          <cell r="AX353">
            <v>0</v>
          </cell>
          <cell r="AY353">
            <v>0</v>
          </cell>
          <cell r="AZ353">
            <v>0</v>
          </cell>
          <cell r="BA353">
            <v>0</v>
          </cell>
          <cell r="BD353" t="str">
            <v/>
          </cell>
          <cell r="BE353">
            <v>1</v>
          </cell>
          <cell r="BG353" t="str">
            <v>1101</v>
          </cell>
        </row>
        <row r="354">
          <cell r="B354" t="str">
            <v>G052100206100600</v>
          </cell>
          <cell r="C354" t="str">
            <v>05.秋田県</v>
          </cell>
          <cell r="D354" t="str">
            <v>210</v>
          </cell>
          <cell r="E354" t="str">
            <v>由利本荘市</v>
          </cell>
          <cell r="F354" t="str">
            <v>02</v>
          </cell>
          <cell r="G354" t="str">
            <v>特環 単独</v>
          </cell>
          <cell r="H354" t="str">
            <v>特定環境保全公共下水道</v>
          </cell>
          <cell r="I354" t="str">
            <v>単独</v>
          </cell>
          <cell r="J354" t="str">
            <v>006</v>
          </cell>
          <cell r="K354" t="str">
            <v>岩谷浄化センター</v>
          </cell>
          <cell r="M354" t="str">
            <v>1</v>
          </cell>
          <cell r="N354" t="str">
            <v>1</v>
          </cell>
          <cell r="Q354">
            <v>36586</v>
          </cell>
          <cell r="R354" t="str">
            <v>平成</v>
          </cell>
          <cell r="S354">
            <v>12</v>
          </cell>
          <cell r="T354">
            <v>3</v>
          </cell>
          <cell r="AB354">
            <v>15000</v>
          </cell>
          <cell r="AC354" t="str">
            <v>芋川</v>
          </cell>
          <cell r="AD354" t="str">
            <v>Ａ</v>
          </cell>
          <cell r="AE354" t="str">
            <v>ロ</v>
          </cell>
          <cell r="AF354">
            <v>15</v>
          </cell>
          <cell r="AK354" t="str">
            <v>芋川</v>
          </cell>
          <cell r="AL354" t="str">
            <v>代内取水口</v>
          </cell>
          <cell r="AM354">
            <v>20</v>
          </cell>
          <cell r="AO354" t="str">
            <v>由利本荘市</v>
          </cell>
          <cell r="AQ354" t="str">
            <v/>
          </cell>
          <cell r="AR354" t="str">
            <v>オキシディションディッチ法</v>
          </cell>
          <cell r="AS354" t="str">
            <v>0521002006</v>
          </cell>
          <cell r="AT354" t="str">
            <v/>
          </cell>
          <cell r="AU354" t="str">
            <v>10</v>
          </cell>
          <cell r="AV354" t="str">
            <v>10</v>
          </cell>
          <cell r="AW354">
            <v>0</v>
          </cell>
          <cell r="AX354">
            <v>0</v>
          </cell>
          <cell r="AY354">
            <v>0</v>
          </cell>
          <cell r="AZ354">
            <v>0</v>
          </cell>
          <cell r="BA354">
            <v>0</v>
          </cell>
          <cell r="BD354" t="str">
            <v/>
          </cell>
          <cell r="BE354">
            <v>1</v>
          </cell>
          <cell r="BG354" t="str">
            <v>1100</v>
          </cell>
        </row>
        <row r="355">
          <cell r="B355" t="str">
            <v>G052120106100100</v>
          </cell>
          <cell r="C355" t="str">
            <v>05.秋田県</v>
          </cell>
          <cell r="D355" t="str">
            <v>212</v>
          </cell>
          <cell r="E355" t="str">
            <v>大仙市</v>
          </cell>
          <cell r="F355" t="str">
            <v>01</v>
          </cell>
          <cell r="G355" t="str">
            <v>公共 単独</v>
          </cell>
          <cell r="H355" t="str">
            <v>公共下水道</v>
          </cell>
          <cell r="I355" t="str">
            <v>単独</v>
          </cell>
          <cell r="J355" t="str">
            <v>001</v>
          </cell>
          <cell r="K355" t="str">
            <v>刈和野浄化センター</v>
          </cell>
          <cell r="M355" t="str">
            <v>1</v>
          </cell>
          <cell r="N355" t="str">
            <v>1</v>
          </cell>
          <cell r="O355" t="str">
            <v>1</v>
          </cell>
          <cell r="Q355">
            <v>35886</v>
          </cell>
          <cell r="R355" t="str">
            <v>平成</v>
          </cell>
          <cell r="S355">
            <v>10</v>
          </cell>
          <cell r="T355">
            <v>4</v>
          </cell>
          <cell r="AB355">
            <v>11700</v>
          </cell>
          <cell r="AC355" t="str">
            <v>雄物川(中流)</v>
          </cell>
          <cell r="AD355" t="str">
            <v>Ａ</v>
          </cell>
          <cell r="AE355" t="str">
            <v>ロ</v>
          </cell>
          <cell r="AF355">
            <v>15</v>
          </cell>
          <cell r="AI355" t="str">
            <v>芦沢川</v>
          </cell>
          <cell r="AK355" t="str">
            <v>雄物川</v>
          </cell>
          <cell r="AQ355" t="str">
            <v/>
          </cell>
          <cell r="AR355" t="str">
            <v>オキシディションディッチ法</v>
          </cell>
          <cell r="AS355" t="str">
            <v>0521201001</v>
          </cell>
          <cell r="AT355" t="str">
            <v/>
          </cell>
          <cell r="AU355" t="str">
            <v>11</v>
          </cell>
          <cell r="AV355" t="str">
            <v>11</v>
          </cell>
          <cell r="AW355">
            <v>0</v>
          </cell>
          <cell r="AX355">
            <v>0</v>
          </cell>
          <cell r="AY355">
            <v>0</v>
          </cell>
          <cell r="AZ355">
            <v>0</v>
          </cell>
          <cell r="BA355">
            <v>0</v>
          </cell>
          <cell r="BD355" t="str">
            <v/>
          </cell>
          <cell r="BE355">
            <v>1</v>
          </cell>
          <cell r="BG355" t="str">
            <v>1110</v>
          </cell>
        </row>
        <row r="356">
          <cell r="B356" t="str">
            <v>G052120206100200</v>
          </cell>
          <cell r="C356" t="str">
            <v>05.秋田県</v>
          </cell>
          <cell r="D356" t="str">
            <v>212</v>
          </cell>
          <cell r="E356" t="str">
            <v>大仙市</v>
          </cell>
          <cell r="F356" t="str">
            <v>02</v>
          </cell>
          <cell r="G356" t="str">
            <v>特環 単独</v>
          </cell>
          <cell r="H356" t="str">
            <v>特定環境保全公共下水道</v>
          </cell>
          <cell r="I356" t="str">
            <v>単独</v>
          </cell>
          <cell r="J356" t="str">
            <v>002</v>
          </cell>
          <cell r="K356" t="str">
            <v>協和中央浄化センター</v>
          </cell>
          <cell r="M356" t="str">
            <v>1</v>
          </cell>
          <cell r="N356" t="str">
            <v>1</v>
          </cell>
          <cell r="Q356">
            <v>35490</v>
          </cell>
          <cell r="R356" t="str">
            <v>平成</v>
          </cell>
          <cell r="S356">
            <v>9</v>
          </cell>
          <cell r="T356">
            <v>3</v>
          </cell>
          <cell r="AB356">
            <v>7224</v>
          </cell>
          <cell r="AC356" t="str">
            <v>淀川</v>
          </cell>
          <cell r="AD356" t="str">
            <v>Ａ</v>
          </cell>
          <cell r="AE356" t="str">
            <v>ロ</v>
          </cell>
          <cell r="AF356">
            <v>15</v>
          </cell>
          <cell r="AK356" t="str">
            <v>淀川</v>
          </cell>
          <cell r="AL356" t="str">
            <v>南部簡水</v>
          </cell>
          <cell r="AM356">
            <v>0.1</v>
          </cell>
          <cell r="AO356" t="str">
            <v>大仙市</v>
          </cell>
          <cell r="AQ356" t="str">
            <v/>
          </cell>
          <cell r="AR356" t="str">
            <v>オキシディションディッチ法</v>
          </cell>
          <cell r="AS356" t="str">
            <v>0521202002</v>
          </cell>
          <cell r="AT356" t="str">
            <v/>
          </cell>
          <cell r="AU356" t="str">
            <v>10</v>
          </cell>
          <cell r="AV356" t="str">
            <v>10</v>
          </cell>
          <cell r="AW356">
            <v>0</v>
          </cell>
          <cell r="AX356">
            <v>0</v>
          </cell>
          <cell r="AY356">
            <v>0</v>
          </cell>
          <cell r="AZ356">
            <v>0</v>
          </cell>
          <cell r="BA356">
            <v>0</v>
          </cell>
          <cell r="BD356" t="str">
            <v/>
          </cell>
          <cell r="BE356">
            <v>1</v>
          </cell>
          <cell r="BG356" t="str">
            <v>1100</v>
          </cell>
        </row>
        <row r="357">
          <cell r="B357" t="str">
            <v>G052120206100300</v>
          </cell>
          <cell r="C357" t="str">
            <v>05.秋田県</v>
          </cell>
          <cell r="D357" t="str">
            <v>212</v>
          </cell>
          <cell r="E357" t="str">
            <v>大仙市</v>
          </cell>
          <cell r="F357" t="str">
            <v>02</v>
          </cell>
          <cell r="G357" t="str">
            <v>特環 単独</v>
          </cell>
          <cell r="H357" t="str">
            <v>特定環境保全公共下水道</v>
          </cell>
          <cell r="I357" t="str">
            <v>単独</v>
          </cell>
          <cell r="J357" t="str">
            <v>003</v>
          </cell>
          <cell r="K357" t="str">
            <v>強首浄化センター</v>
          </cell>
          <cell r="M357" t="str">
            <v>1</v>
          </cell>
          <cell r="N357" t="str">
            <v>1</v>
          </cell>
          <cell r="O357" t="str">
            <v>1</v>
          </cell>
          <cell r="Q357">
            <v>35886</v>
          </cell>
          <cell r="R357" t="str">
            <v>平成</v>
          </cell>
          <cell r="S357">
            <v>10</v>
          </cell>
          <cell r="T357">
            <v>4</v>
          </cell>
          <cell r="AB357">
            <v>2200</v>
          </cell>
          <cell r="AC357" t="str">
            <v>雄物川(中流)</v>
          </cell>
          <cell r="AD357" t="str">
            <v>Ａ</v>
          </cell>
          <cell r="AE357" t="str">
            <v>ロ</v>
          </cell>
          <cell r="AF357">
            <v>20</v>
          </cell>
          <cell r="AK357" t="str">
            <v>雄物川</v>
          </cell>
          <cell r="AQ357" t="str">
            <v/>
          </cell>
          <cell r="AR357" t="str">
            <v>オキシディションディッチ法</v>
          </cell>
          <cell r="AS357" t="str">
            <v>0521202003</v>
          </cell>
          <cell r="AT357" t="str">
            <v/>
          </cell>
          <cell r="AU357" t="str">
            <v>11</v>
          </cell>
          <cell r="AV357" t="str">
            <v>11</v>
          </cell>
          <cell r="AW357">
            <v>0</v>
          </cell>
          <cell r="AX357">
            <v>0</v>
          </cell>
          <cell r="AY357">
            <v>0</v>
          </cell>
          <cell r="AZ357">
            <v>0</v>
          </cell>
          <cell r="BA357">
            <v>0</v>
          </cell>
          <cell r="BD357" t="str">
            <v/>
          </cell>
          <cell r="BE357">
            <v>1</v>
          </cell>
          <cell r="BG357" t="str">
            <v>1110</v>
          </cell>
        </row>
        <row r="358">
          <cell r="B358" t="str">
            <v>G052120206100400</v>
          </cell>
          <cell r="C358" t="str">
            <v>05.秋田県</v>
          </cell>
          <cell r="D358" t="str">
            <v>212</v>
          </cell>
          <cell r="E358" t="str">
            <v>大仙市</v>
          </cell>
          <cell r="F358" t="str">
            <v>02</v>
          </cell>
          <cell r="G358" t="str">
            <v>特環 単独</v>
          </cell>
          <cell r="H358" t="str">
            <v>特定環境保全公共下水道</v>
          </cell>
          <cell r="I358" t="str">
            <v>単独</v>
          </cell>
          <cell r="J358" t="str">
            <v>004</v>
          </cell>
          <cell r="K358" t="str">
            <v>南外浄化センター</v>
          </cell>
          <cell r="M358" t="str">
            <v>1</v>
          </cell>
          <cell r="Q358">
            <v>40238</v>
          </cell>
          <cell r="R358" t="str">
            <v>平成</v>
          </cell>
          <cell r="S358">
            <v>22</v>
          </cell>
          <cell r="T358">
            <v>3</v>
          </cell>
          <cell r="AB358">
            <v>4644</v>
          </cell>
          <cell r="AC358" t="str">
            <v>雄物川中流</v>
          </cell>
          <cell r="AD358" t="str">
            <v>Ａ</v>
          </cell>
          <cell r="AE358" t="str">
            <v>ロ</v>
          </cell>
          <cell r="AF358">
            <v>15</v>
          </cell>
          <cell r="AG358">
            <v>20</v>
          </cell>
          <cell r="AK358" t="str">
            <v>楢岡川</v>
          </cell>
          <cell r="AQ358" t="str">
            <v/>
          </cell>
          <cell r="AR358" t="str">
            <v>オキシディションディッチ法</v>
          </cell>
          <cell r="AS358" t="str">
            <v>0521202004</v>
          </cell>
          <cell r="AT358" t="str">
            <v/>
          </cell>
          <cell r="AU358" t="str">
            <v>00</v>
          </cell>
          <cell r="AV358" t="str">
            <v>00</v>
          </cell>
          <cell r="AW358">
            <v>0</v>
          </cell>
          <cell r="AX358">
            <v>0</v>
          </cell>
          <cell r="AY358">
            <v>0</v>
          </cell>
          <cell r="AZ358">
            <v>0</v>
          </cell>
          <cell r="BA358">
            <v>0</v>
          </cell>
          <cell r="BB358" t="str">
            <v>脱水休止</v>
          </cell>
          <cell r="BD358" t="str">
            <v>脱水休止</v>
          </cell>
          <cell r="BE358">
            <v>1</v>
          </cell>
          <cell r="BG358" t="str">
            <v>1000</v>
          </cell>
        </row>
        <row r="359">
          <cell r="B359" t="str">
            <v>G052130106100100</v>
          </cell>
          <cell r="C359" t="str">
            <v>05.秋田県</v>
          </cell>
          <cell r="D359" t="str">
            <v>213</v>
          </cell>
          <cell r="E359" t="str">
            <v>北秋田市</v>
          </cell>
          <cell r="F359" t="str">
            <v>01</v>
          </cell>
          <cell r="G359" t="str">
            <v>公共 単独</v>
          </cell>
          <cell r="H359" t="str">
            <v>公共下水道</v>
          </cell>
          <cell r="I359" t="str">
            <v>単独</v>
          </cell>
          <cell r="J359" t="str">
            <v>001</v>
          </cell>
          <cell r="K359" t="str">
            <v>米内沢浄化センター</v>
          </cell>
          <cell r="M359" t="str">
            <v>1</v>
          </cell>
          <cell r="N359" t="str">
            <v>1</v>
          </cell>
          <cell r="Q359">
            <v>35521</v>
          </cell>
          <cell r="R359" t="str">
            <v>平成</v>
          </cell>
          <cell r="S359">
            <v>9</v>
          </cell>
          <cell r="T359">
            <v>4</v>
          </cell>
          <cell r="AB359">
            <v>7608</v>
          </cell>
          <cell r="AC359" t="str">
            <v>阿仁川下流</v>
          </cell>
          <cell r="AD359" t="str">
            <v>Ａ</v>
          </cell>
          <cell r="AE359" t="str">
            <v>ロ</v>
          </cell>
          <cell r="AF359">
            <v>15</v>
          </cell>
          <cell r="AK359" t="str">
            <v>阿仁川</v>
          </cell>
          <cell r="AQ359" t="str">
            <v/>
          </cell>
          <cell r="AR359" t="str">
            <v>オキシディションディッチ法</v>
          </cell>
          <cell r="AS359" t="str">
            <v>0521301001</v>
          </cell>
          <cell r="AT359" t="str">
            <v/>
          </cell>
          <cell r="AU359" t="str">
            <v>10</v>
          </cell>
          <cell r="AV359" t="str">
            <v>10</v>
          </cell>
          <cell r="AW359">
            <v>0</v>
          </cell>
          <cell r="AX359">
            <v>0</v>
          </cell>
          <cell r="AY359">
            <v>0</v>
          </cell>
          <cell r="AZ359">
            <v>0</v>
          </cell>
          <cell r="BA359">
            <v>0</v>
          </cell>
          <cell r="BD359" t="str">
            <v/>
          </cell>
          <cell r="BE359">
            <v>1</v>
          </cell>
          <cell r="BG359" t="str">
            <v>1100</v>
          </cell>
        </row>
        <row r="360">
          <cell r="B360" t="str">
            <v>G052130106100200</v>
          </cell>
          <cell r="C360" t="str">
            <v>05.秋田県</v>
          </cell>
          <cell r="D360" t="str">
            <v>213</v>
          </cell>
          <cell r="E360" t="str">
            <v>北秋田市</v>
          </cell>
          <cell r="F360" t="str">
            <v>01</v>
          </cell>
          <cell r="G360" t="str">
            <v>公共 単独</v>
          </cell>
          <cell r="H360" t="str">
            <v>公共下水道</v>
          </cell>
          <cell r="I360" t="str">
            <v>単独</v>
          </cell>
          <cell r="J360" t="str">
            <v>002</v>
          </cell>
          <cell r="K360" t="str">
            <v>鷹巣浄化センター</v>
          </cell>
          <cell r="M360" t="str">
            <v>1</v>
          </cell>
          <cell r="N360" t="str">
            <v>1</v>
          </cell>
          <cell r="Q360">
            <v>35886</v>
          </cell>
          <cell r="R360" t="str">
            <v>平成</v>
          </cell>
          <cell r="S360">
            <v>10</v>
          </cell>
          <cell r="T360">
            <v>4</v>
          </cell>
          <cell r="AB360">
            <v>19331</v>
          </cell>
          <cell r="AC360" t="str">
            <v>米代川下流</v>
          </cell>
          <cell r="AD360" t="str">
            <v>Ｂ</v>
          </cell>
          <cell r="AE360" t="str">
            <v>イ</v>
          </cell>
          <cell r="AF360">
            <v>15</v>
          </cell>
          <cell r="AK360" t="str">
            <v>米代川</v>
          </cell>
          <cell r="AL360" t="str">
            <v>能代市仁井田浄水場</v>
          </cell>
          <cell r="AN360">
            <v>29.5</v>
          </cell>
          <cell r="AO360" t="str">
            <v>能代市</v>
          </cell>
          <cell r="AQ360" t="str">
            <v/>
          </cell>
          <cell r="AR360" t="str">
            <v>オキシディションディッチ法</v>
          </cell>
          <cell r="AS360" t="str">
            <v>0521301002</v>
          </cell>
          <cell r="AT360" t="str">
            <v/>
          </cell>
          <cell r="AU360" t="str">
            <v>10</v>
          </cell>
          <cell r="AV360" t="str">
            <v>10</v>
          </cell>
          <cell r="AW360">
            <v>0</v>
          </cell>
          <cell r="AX360">
            <v>0</v>
          </cell>
          <cell r="AY360">
            <v>0</v>
          </cell>
          <cell r="AZ360">
            <v>0</v>
          </cell>
          <cell r="BA360">
            <v>0</v>
          </cell>
          <cell r="BD360" t="str">
            <v/>
          </cell>
          <cell r="BE360">
            <v>1</v>
          </cell>
          <cell r="BG360" t="str">
            <v>1100</v>
          </cell>
        </row>
        <row r="361">
          <cell r="B361" t="str">
            <v>G052130106100300</v>
          </cell>
          <cell r="C361" t="str">
            <v>05.秋田県</v>
          </cell>
          <cell r="D361" t="str">
            <v>213</v>
          </cell>
          <cell r="E361" t="str">
            <v>北秋田市</v>
          </cell>
          <cell r="F361" t="str">
            <v>01</v>
          </cell>
          <cell r="G361" t="str">
            <v>公共 単独</v>
          </cell>
          <cell r="H361" t="str">
            <v>公共下水道</v>
          </cell>
          <cell r="I361" t="str">
            <v>単独</v>
          </cell>
          <cell r="J361" t="str">
            <v>003</v>
          </cell>
          <cell r="K361" t="str">
            <v>合川浄化センター</v>
          </cell>
          <cell r="M361" t="str">
            <v>1</v>
          </cell>
          <cell r="N361" t="str">
            <v>1</v>
          </cell>
          <cell r="Q361">
            <v>38534</v>
          </cell>
          <cell r="R361" t="str">
            <v>平成</v>
          </cell>
          <cell r="S361">
            <v>17</v>
          </cell>
          <cell r="T361">
            <v>7</v>
          </cell>
          <cell r="AB361">
            <v>6000</v>
          </cell>
          <cell r="AC361" t="str">
            <v>阿仁川下流</v>
          </cell>
          <cell r="AD361" t="str">
            <v>Ａ</v>
          </cell>
          <cell r="AE361" t="str">
            <v>ロ</v>
          </cell>
          <cell r="AF361">
            <v>15</v>
          </cell>
          <cell r="AK361" t="str">
            <v>阿仁川</v>
          </cell>
          <cell r="AQ361" t="str">
            <v/>
          </cell>
          <cell r="AR361" t="str">
            <v>土壌被覆型礫間接触法</v>
          </cell>
          <cell r="AS361" t="str">
            <v>0521301003</v>
          </cell>
          <cell r="AT361" t="str">
            <v/>
          </cell>
          <cell r="AU361" t="str">
            <v>10</v>
          </cell>
          <cell r="AV361" t="str">
            <v>10</v>
          </cell>
          <cell r="AW361">
            <v>0</v>
          </cell>
          <cell r="AX361">
            <v>0</v>
          </cell>
          <cell r="AY361">
            <v>0</v>
          </cell>
          <cell r="AZ361">
            <v>0</v>
          </cell>
          <cell r="BA361">
            <v>0</v>
          </cell>
          <cell r="BD361" t="str">
            <v/>
          </cell>
          <cell r="BE361">
            <v>1</v>
          </cell>
          <cell r="BG361" t="str">
            <v>1100</v>
          </cell>
        </row>
        <row r="362">
          <cell r="B362" t="str">
            <v>G052130206100400</v>
          </cell>
          <cell r="C362" t="str">
            <v>05.秋田県</v>
          </cell>
          <cell r="D362" t="str">
            <v>213</v>
          </cell>
          <cell r="E362" t="str">
            <v>北秋田市</v>
          </cell>
          <cell r="F362" t="str">
            <v>02</v>
          </cell>
          <cell r="G362" t="str">
            <v>特環 単独</v>
          </cell>
          <cell r="H362" t="str">
            <v>特定環境保全公共下水道</v>
          </cell>
          <cell r="I362" t="str">
            <v>単独</v>
          </cell>
          <cell r="J362" t="str">
            <v>004</v>
          </cell>
          <cell r="K362" t="str">
            <v>阿仁合浄化センター</v>
          </cell>
          <cell r="M362" t="str">
            <v>1</v>
          </cell>
          <cell r="N362" t="str">
            <v>1</v>
          </cell>
          <cell r="Q362">
            <v>37711</v>
          </cell>
          <cell r="R362" t="str">
            <v>平成</v>
          </cell>
          <cell r="S362">
            <v>15</v>
          </cell>
          <cell r="T362">
            <v>3</v>
          </cell>
          <cell r="AB362">
            <v>7011</v>
          </cell>
          <cell r="AC362" t="str">
            <v>阿仁川上流</v>
          </cell>
          <cell r="AD362" t="str">
            <v>Ａ</v>
          </cell>
          <cell r="AE362" t="str">
            <v>ロ</v>
          </cell>
          <cell r="AF362">
            <v>15</v>
          </cell>
          <cell r="AK362" t="str">
            <v>阿仁川</v>
          </cell>
          <cell r="AQ362" t="str">
            <v/>
          </cell>
          <cell r="AR362" t="str">
            <v>オキシディションディッチ法</v>
          </cell>
          <cell r="AS362" t="str">
            <v>0521302004</v>
          </cell>
          <cell r="AT362" t="str">
            <v/>
          </cell>
          <cell r="AU362" t="str">
            <v>10</v>
          </cell>
          <cell r="AV362" t="str">
            <v>10</v>
          </cell>
          <cell r="AW362">
            <v>0</v>
          </cell>
          <cell r="AX362">
            <v>0</v>
          </cell>
          <cell r="AY362">
            <v>0</v>
          </cell>
          <cell r="AZ362">
            <v>0</v>
          </cell>
          <cell r="BA362">
            <v>0</v>
          </cell>
          <cell r="BD362" t="str">
            <v/>
          </cell>
          <cell r="BE362">
            <v>1</v>
          </cell>
          <cell r="BG362" t="str">
            <v>1100</v>
          </cell>
        </row>
        <row r="363">
          <cell r="B363" t="str">
            <v>G052140106100100</v>
          </cell>
          <cell r="C363" t="str">
            <v>05.秋田県</v>
          </cell>
          <cell r="D363" t="str">
            <v>214</v>
          </cell>
          <cell r="E363" t="str">
            <v>にかほ市</v>
          </cell>
          <cell r="F363" t="str">
            <v>01</v>
          </cell>
          <cell r="G363" t="str">
            <v>公共 単独</v>
          </cell>
          <cell r="H363" t="str">
            <v>公共下水道</v>
          </cell>
          <cell r="I363" t="str">
            <v>単独</v>
          </cell>
          <cell r="J363" t="str">
            <v>001</v>
          </cell>
          <cell r="K363" t="str">
            <v>笹森クリーンセンター</v>
          </cell>
          <cell r="M363" t="str">
            <v>1</v>
          </cell>
          <cell r="N363" t="str">
            <v>1</v>
          </cell>
          <cell r="Q363">
            <v>35886</v>
          </cell>
          <cell r="R363" t="str">
            <v>平成</v>
          </cell>
          <cell r="S363">
            <v>10</v>
          </cell>
          <cell r="T363">
            <v>4</v>
          </cell>
          <cell r="AB363">
            <v>62600</v>
          </cell>
          <cell r="AC363" t="str">
            <v>日本海及び赤石川</v>
          </cell>
          <cell r="AD363" t="str">
            <v>Ａ、ＡＡ</v>
          </cell>
          <cell r="AE363" t="str">
            <v>イ</v>
          </cell>
          <cell r="AF363">
            <v>15</v>
          </cell>
          <cell r="AJ363" t="str">
            <v>赤石川</v>
          </cell>
          <cell r="AQ363" t="str">
            <v/>
          </cell>
          <cell r="AR363" t="str">
            <v>オキシディションディッチ法</v>
          </cell>
          <cell r="AS363" t="str">
            <v>0521401001</v>
          </cell>
          <cell r="AT363" t="str">
            <v/>
          </cell>
          <cell r="AU363" t="str">
            <v>10</v>
          </cell>
          <cell r="AV363" t="str">
            <v>10</v>
          </cell>
          <cell r="AW363">
            <v>0</v>
          </cell>
          <cell r="AX363">
            <v>0</v>
          </cell>
          <cell r="AY363">
            <v>0</v>
          </cell>
          <cell r="AZ363">
            <v>0</v>
          </cell>
          <cell r="BA363">
            <v>0</v>
          </cell>
          <cell r="BD363" t="str">
            <v/>
          </cell>
          <cell r="BE363">
            <v>1</v>
          </cell>
          <cell r="BG363" t="str">
            <v>1100</v>
          </cell>
        </row>
        <row r="364">
          <cell r="B364" t="str">
            <v>G052150106100100</v>
          </cell>
          <cell r="C364" t="str">
            <v>05.秋田県</v>
          </cell>
          <cell r="D364" t="str">
            <v>215</v>
          </cell>
          <cell r="E364" t="str">
            <v>仙北市</v>
          </cell>
          <cell r="F364" t="str">
            <v>01</v>
          </cell>
          <cell r="G364" t="str">
            <v>公共 単独</v>
          </cell>
          <cell r="H364" t="str">
            <v>公共下水道</v>
          </cell>
          <cell r="I364" t="str">
            <v>単独</v>
          </cell>
          <cell r="J364" t="str">
            <v>001</v>
          </cell>
          <cell r="K364" t="str">
            <v>田沢湖浄化センター</v>
          </cell>
          <cell r="M364" t="str">
            <v>1</v>
          </cell>
          <cell r="N364" t="str">
            <v>1</v>
          </cell>
          <cell r="Q364">
            <v>31564</v>
          </cell>
          <cell r="R364" t="str">
            <v>昭和</v>
          </cell>
          <cell r="S364">
            <v>61</v>
          </cell>
          <cell r="T364">
            <v>6</v>
          </cell>
          <cell r="AB364">
            <v>14605</v>
          </cell>
          <cell r="AC364" t="str">
            <v>玉川上流</v>
          </cell>
          <cell r="AD364" t="str">
            <v>ＡＡ</v>
          </cell>
          <cell r="AE364" t="str">
            <v>イ</v>
          </cell>
          <cell r="AF364">
            <v>15</v>
          </cell>
          <cell r="AK364" t="str">
            <v>玉川</v>
          </cell>
          <cell r="AQ364" t="str">
            <v/>
          </cell>
          <cell r="AR364" t="str">
            <v>その他処理方法</v>
          </cell>
          <cell r="AS364" t="str">
            <v>0521501001</v>
          </cell>
          <cell r="AT364" t="str">
            <v/>
          </cell>
          <cell r="AU364" t="str">
            <v>10</v>
          </cell>
          <cell r="AV364" t="str">
            <v>10</v>
          </cell>
          <cell r="AW364">
            <v>0</v>
          </cell>
          <cell r="AX364">
            <v>0</v>
          </cell>
          <cell r="AY364">
            <v>0</v>
          </cell>
          <cell r="AZ364">
            <v>0</v>
          </cell>
          <cell r="BA364">
            <v>0</v>
          </cell>
          <cell r="BD364" t="str">
            <v/>
          </cell>
          <cell r="BE364">
            <v>1</v>
          </cell>
          <cell r="BG364" t="str">
            <v>1100</v>
          </cell>
        </row>
        <row r="365">
          <cell r="B365" t="str">
            <v>G053270206100100</v>
          </cell>
          <cell r="C365" t="str">
            <v>05.秋田県</v>
          </cell>
          <cell r="D365" t="str">
            <v>327</v>
          </cell>
          <cell r="E365" t="str">
            <v>上小阿仁村</v>
          </cell>
          <cell r="F365" t="str">
            <v>02</v>
          </cell>
          <cell r="G365" t="str">
            <v>特環 単独</v>
          </cell>
          <cell r="H365" t="str">
            <v>特定環境保全公共下水道</v>
          </cell>
          <cell r="I365" t="str">
            <v>単独</v>
          </cell>
          <cell r="J365" t="str">
            <v>001</v>
          </cell>
          <cell r="K365" t="str">
            <v>沖田面浄化センター</v>
          </cell>
          <cell r="M365" t="str">
            <v>1</v>
          </cell>
          <cell r="N365" t="str">
            <v>1</v>
          </cell>
          <cell r="Q365">
            <v>37104</v>
          </cell>
          <cell r="R365" t="str">
            <v>平成</v>
          </cell>
          <cell r="S365">
            <v>13</v>
          </cell>
          <cell r="T365">
            <v>8</v>
          </cell>
          <cell r="AB365">
            <v>3961</v>
          </cell>
          <cell r="AC365" t="str">
            <v>小阿仁川上下流</v>
          </cell>
          <cell r="AD365" t="str">
            <v>Ａ-Ⅲ</v>
          </cell>
          <cell r="AE365" t="str">
            <v>イ</v>
          </cell>
          <cell r="AF365">
            <v>15</v>
          </cell>
          <cell r="AK365" t="str">
            <v>小阿仁川</v>
          </cell>
          <cell r="AQ365" t="str">
            <v/>
          </cell>
          <cell r="AR365" t="str">
            <v>オキシディションディッチ法</v>
          </cell>
          <cell r="AS365" t="str">
            <v>0532702001</v>
          </cell>
          <cell r="AT365" t="str">
            <v/>
          </cell>
          <cell r="AU365" t="str">
            <v>10</v>
          </cell>
          <cell r="AV365" t="str">
            <v>10</v>
          </cell>
          <cell r="AW365">
            <v>0</v>
          </cell>
          <cell r="AX365">
            <v>0</v>
          </cell>
          <cell r="AY365">
            <v>0</v>
          </cell>
          <cell r="AZ365">
            <v>0</v>
          </cell>
          <cell r="BA365">
            <v>0</v>
          </cell>
          <cell r="BD365" t="str">
            <v/>
          </cell>
          <cell r="BE365">
            <v>1</v>
          </cell>
          <cell r="BG365" t="str">
            <v>1100</v>
          </cell>
        </row>
        <row r="366">
          <cell r="B366" t="str">
            <v>G053460206100100</v>
          </cell>
          <cell r="C366" t="str">
            <v>05.秋田県</v>
          </cell>
          <cell r="D366" t="str">
            <v>346</v>
          </cell>
          <cell r="E366" t="str">
            <v>藤里町</v>
          </cell>
          <cell r="F366" t="str">
            <v>02</v>
          </cell>
          <cell r="G366" t="str">
            <v>特環 単独</v>
          </cell>
          <cell r="H366" t="str">
            <v>特定環境保全公共下水道</v>
          </cell>
          <cell r="I366" t="str">
            <v>単独</v>
          </cell>
          <cell r="J366" t="str">
            <v>001</v>
          </cell>
          <cell r="K366" t="str">
            <v>藤里浄化センター</v>
          </cell>
          <cell r="M366" t="str">
            <v>1</v>
          </cell>
          <cell r="N366" t="str">
            <v>1</v>
          </cell>
          <cell r="O366" t="str">
            <v>1</v>
          </cell>
          <cell r="Q366">
            <v>37681</v>
          </cell>
          <cell r="R366" t="str">
            <v>平成</v>
          </cell>
          <cell r="S366">
            <v>15</v>
          </cell>
          <cell r="T366">
            <v>3</v>
          </cell>
          <cell r="AB366">
            <v>9500</v>
          </cell>
          <cell r="AC366" t="str">
            <v>設定なし</v>
          </cell>
          <cell r="AF366">
            <v>15</v>
          </cell>
          <cell r="AK366" t="str">
            <v>大沢川</v>
          </cell>
          <cell r="AL366" t="str">
            <v>矢坂簡易水道</v>
          </cell>
          <cell r="AN366">
            <v>3</v>
          </cell>
          <cell r="AO366" t="str">
            <v>藤里町、能代市</v>
          </cell>
          <cell r="AQ366" t="str">
            <v/>
          </cell>
          <cell r="AR366" t="str">
            <v>オキシディションディッチ法</v>
          </cell>
          <cell r="AS366" t="str">
            <v>0534602001</v>
          </cell>
          <cell r="AT366" t="str">
            <v/>
          </cell>
          <cell r="AU366" t="str">
            <v>11</v>
          </cell>
          <cell r="AV366" t="str">
            <v>11</v>
          </cell>
          <cell r="AW366">
            <v>0</v>
          </cell>
          <cell r="AX366">
            <v>0</v>
          </cell>
          <cell r="AY366">
            <v>0</v>
          </cell>
          <cell r="AZ366">
            <v>0</v>
          </cell>
          <cell r="BA366">
            <v>0</v>
          </cell>
          <cell r="BD366" t="str">
            <v/>
          </cell>
          <cell r="BE366">
            <v>1</v>
          </cell>
          <cell r="BG366" t="str">
            <v>1110</v>
          </cell>
        </row>
        <row r="367">
          <cell r="B367" t="str">
            <v>G053490206100100</v>
          </cell>
          <cell r="C367" t="str">
            <v>05.秋田県</v>
          </cell>
          <cell r="D367" t="str">
            <v>349</v>
          </cell>
          <cell r="E367" t="str">
            <v>八峰町</v>
          </cell>
          <cell r="F367" t="str">
            <v>02</v>
          </cell>
          <cell r="G367" t="str">
            <v>特環 単独</v>
          </cell>
          <cell r="H367" t="str">
            <v>特定環境保全公共下水道</v>
          </cell>
          <cell r="I367" t="str">
            <v>単独</v>
          </cell>
          <cell r="J367" t="str">
            <v>001</v>
          </cell>
          <cell r="K367" t="str">
            <v>八森浄化センター</v>
          </cell>
          <cell r="M367" t="str">
            <v>1</v>
          </cell>
          <cell r="N367" t="str">
            <v>1</v>
          </cell>
          <cell r="Q367">
            <v>37316</v>
          </cell>
          <cell r="R367" t="str">
            <v>平成</v>
          </cell>
          <cell r="S367">
            <v>14</v>
          </cell>
          <cell r="T367">
            <v>3</v>
          </cell>
          <cell r="AB367">
            <v>6500</v>
          </cell>
          <cell r="AC367" t="str">
            <v>日本海</v>
          </cell>
          <cell r="AD367" t="str">
            <v>Ａ</v>
          </cell>
          <cell r="AE367" t="str">
            <v>イ</v>
          </cell>
          <cell r="AF367">
            <v>15</v>
          </cell>
          <cell r="AI367" t="str">
            <v>日本海</v>
          </cell>
          <cell r="AQ367" t="str">
            <v/>
          </cell>
          <cell r="AR367" t="str">
            <v>オキシディションディッチ法</v>
          </cell>
          <cell r="AS367" t="str">
            <v>0534902001</v>
          </cell>
          <cell r="AT367" t="str">
            <v/>
          </cell>
          <cell r="AU367" t="str">
            <v>10</v>
          </cell>
          <cell r="AV367" t="str">
            <v>10</v>
          </cell>
          <cell r="AW367">
            <v>0</v>
          </cell>
          <cell r="AX367">
            <v>0</v>
          </cell>
          <cell r="AY367">
            <v>0</v>
          </cell>
          <cell r="AZ367">
            <v>0</v>
          </cell>
          <cell r="BA367">
            <v>0</v>
          </cell>
          <cell r="BD367" t="str">
            <v/>
          </cell>
          <cell r="BE367">
            <v>1</v>
          </cell>
          <cell r="BG367" t="str">
            <v>1100</v>
          </cell>
        </row>
        <row r="368">
          <cell r="B368" t="str">
            <v>G053490206100200</v>
          </cell>
          <cell r="C368" t="str">
            <v>05.秋田県</v>
          </cell>
          <cell r="D368" t="str">
            <v>349</v>
          </cell>
          <cell r="E368" t="str">
            <v>八峰町</v>
          </cell>
          <cell r="F368" t="str">
            <v>02</v>
          </cell>
          <cell r="G368" t="str">
            <v>特環 単独</v>
          </cell>
          <cell r="H368" t="str">
            <v>特定環境保全公共下水道</v>
          </cell>
          <cell r="I368" t="str">
            <v>単独</v>
          </cell>
          <cell r="J368" t="str">
            <v>002</v>
          </cell>
          <cell r="K368" t="str">
            <v>沢目浄化センター</v>
          </cell>
          <cell r="M368" t="str">
            <v>1</v>
          </cell>
          <cell r="N368" t="str">
            <v>1</v>
          </cell>
          <cell r="Q368">
            <v>38047</v>
          </cell>
          <cell r="R368" t="str">
            <v>平成</v>
          </cell>
          <cell r="S368">
            <v>16</v>
          </cell>
          <cell r="T368">
            <v>3</v>
          </cell>
          <cell r="AB368">
            <v>6000</v>
          </cell>
          <cell r="AC368" t="str">
            <v>塙川（全域）</v>
          </cell>
          <cell r="AD368" t="str">
            <v>Ａ</v>
          </cell>
          <cell r="AE368" t="str">
            <v>イ</v>
          </cell>
          <cell r="AF368">
            <v>15</v>
          </cell>
          <cell r="AJ368" t="str">
            <v>塙川</v>
          </cell>
          <cell r="AQ368" t="str">
            <v/>
          </cell>
          <cell r="AR368" t="str">
            <v>オキシディションディッチ法</v>
          </cell>
          <cell r="AS368" t="str">
            <v>0534902002</v>
          </cell>
          <cell r="AT368" t="str">
            <v/>
          </cell>
          <cell r="AU368" t="str">
            <v>10</v>
          </cell>
          <cell r="AV368" t="str">
            <v>10</v>
          </cell>
          <cell r="AW368">
            <v>0</v>
          </cell>
          <cell r="AX368">
            <v>0</v>
          </cell>
          <cell r="AY368">
            <v>0</v>
          </cell>
          <cell r="AZ368">
            <v>0</v>
          </cell>
          <cell r="BA368">
            <v>0</v>
          </cell>
          <cell r="BD368" t="str">
            <v/>
          </cell>
          <cell r="BE368">
            <v>1</v>
          </cell>
          <cell r="BG368" t="str">
            <v>1100</v>
          </cell>
        </row>
        <row r="369">
          <cell r="B369" t="str">
            <v>G054630206100100</v>
          </cell>
          <cell r="C369" t="str">
            <v>05.秋田県</v>
          </cell>
          <cell r="D369" t="str">
            <v>463</v>
          </cell>
          <cell r="E369" t="str">
            <v>羽後町</v>
          </cell>
          <cell r="F369" t="str">
            <v>02</v>
          </cell>
          <cell r="G369" t="str">
            <v>特環 単独</v>
          </cell>
          <cell r="H369" t="str">
            <v>特定環境保全公共下水道</v>
          </cell>
          <cell r="I369" t="str">
            <v>単独</v>
          </cell>
          <cell r="J369" t="str">
            <v>001</v>
          </cell>
          <cell r="K369" t="str">
            <v>西馬音内浄化センター</v>
          </cell>
          <cell r="M369" t="str">
            <v>1</v>
          </cell>
          <cell r="N369" t="str">
            <v>1</v>
          </cell>
          <cell r="Q369">
            <v>38047</v>
          </cell>
          <cell r="R369" t="str">
            <v>平成</v>
          </cell>
          <cell r="S369">
            <v>16</v>
          </cell>
          <cell r="T369">
            <v>3</v>
          </cell>
          <cell r="AB369">
            <v>14640</v>
          </cell>
          <cell r="AC369" t="str">
            <v>雄物川</v>
          </cell>
          <cell r="AD369" t="str">
            <v>Ａ</v>
          </cell>
          <cell r="AE369" t="str">
            <v>イ</v>
          </cell>
          <cell r="AK369" t="str">
            <v>西馬音内</v>
          </cell>
          <cell r="AL369" t="str">
            <v>養蚕</v>
          </cell>
          <cell r="AN369">
            <v>4</v>
          </cell>
          <cell r="AO369" t="str">
            <v>羽後町</v>
          </cell>
          <cell r="AQ369" t="str">
            <v/>
          </cell>
          <cell r="AR369" t="str">
            <v>オキシディションディッチ法</v>
          </cell>
          <cell r="AS369" t="str">
            <v>0546302001</v>
          </cell>
          <cell r="AT369" t="str">
            <v/>
          </cell>
          <cell r="AU369" t="str">
            <v>10</v>
          </cell>
          <cell r="AV369" t="str">
            <v>10</v>
          </cell>
          <cell r="AW369">
            <v>0</v>
          </cell>
          <cell r="AX369">
            <v>0</v>
          </cell>
          <cell r="AY369">
            <v>0</v>
          </cell>
          <cell r="AZ369">
            <v>0</v>
          </cell>
          <cell r="BA369">
            <v>0</v>
          </cell>
          <cell r="BD369" t="str">
            <v/>
          </cell>
          <cell r="BE369">
            <v>1</v>
          </cell>
          <cell r="BG369" t="str">
            <v>1100</v>
          </cell>
        </row>
        <row r="370">
          <cell r="B370" t="str">
            <v>G060018106100100</v>
          </cell>
          <cell r="C370" t="str">
            <v>06.山形県</v>
          </cell>
          <cell r="D370" t="str">
            <v>001</v>
          </cell>
          <cell r="E370" t="str">
            <v>最上川流域</v>
          </cell>
          <cell r="F370" t="str">
            <v>81</v>
          </cell>
          <cell r="G370" t="str">
            <v>流域</v>
          </cell>
          <cell r="H370" t="str">
            <v>流域下水道</v>
          </cell>
          <cell r="I370" t="str">
            <v/>
          </cell>
          <cell r="J370" t="str">
            <v>001</v>
          </cell>
          <cell r="K370" t="str">
            <v>村山浄化センター</v>
          </cell>
          <cell r="M370" t="str">
            <v>1</v>
          </cell>
          <cell r="N370" t="str">
            <v>1</v>
          </cell>
          <cell r="Q370">
            <v>31959</v>
          </cell>
          <cell r="R370" t="str">
            <v>昭和</v>
          </cell>
          <cell r="S370">
            <v>62</v>
          </cell>
          <cell r="T370">
            <v>7</v>
          </cell>
          <cell r="AB370">
            <v>126000</v>
          </cell>
          <cell r="AC370" t="str">
            <v>最上川中下流</v>
          </cell>
          <cell r="AD370" t="str">
            <v>Ａ</v>
          </cell>
          <cell r="AE370" t="str">
            <v>ロ</v>
          </cell>
          <cell r="AF370">
            <v>15</v>
          </cell>
          <cell r="AK370" t="str">
            <v>最上川</v>
          </cell>
          <cell r="AQ370" t="str">
            <v/>
          </cell>
          <cell r="AR370" t="str">
            <v>標準活性汚泥法</v>
          </cell>
          <cell r="AS370" t="str">
            <v>0600181001</v>
          </cell>
          <cell r="AT370" t="str">
            <v/>
          </cell>
          <cell r="AU370" t="str">
            <v>10</v>
          </cell>
          <cell r="AV370" t="str">
            <v>10</v>
          </cell>
          <cell r="AW370">
            <v>0</v>
          </cell>
          <cell r="AX370">
            <v>0</v>
          </cell>
          <cell r="AY370">
            <v>0</v>
          </cell>
          <cell r="AZ370">
            <v>0</v>
          </cell>
          <cell r="BA370">
            <v>0</v>
          </cell>
          <cell r="BD370" t="str">
            <v/>
          </cell>
          <cell r="BE370">
            <v>1</v>
          </cell>
          <cell r="BG370" t="str">
            <v>1100</v>
          </cell>
        </row>
        <row r="371">
          <cell r="B371" t="str">
            <v>G060018106100200</v>
          </cell>
          <cell r="C371" t="str">
            <v>06.山形県</v>
          </cell>
          <cell r="D371" t="str">
            <v>001</v>
          </cell>
          <cell r="E371" t="str">
            <v>最上川流域</v>
          </cell>
          <cell r="F371" t="str">
            <v>81</v>
          </cell>
          <cell r="G371" t="str">
            <v>流域</v>
          </cell>
          <cell r="H371" t="str">
            <v>流域下水道</v>
          </cell>
          <cell r="I371" t="str">
            <v/>
          </cell>
          <cell r="J371" t="str">
            <v>002</v>
          </cell>
          <cell r="K371" t="str">
            <v>置賜浄化センター</v>
          </cell>
          <cell r="M371" t="str">
            <v>1</v>
          </cell>
          <cell r="N371" t="str">
            <v>1</v>
          </cell>
          <cell r="Q371">
            <v>32051</v>
          </cell>
          <cell r="R371" t="str">
            <v>昭和</v>
          </cell>
          <cell r="S371">
            <v>62</v>
          </cell>
          <cell r="T371">
            <v>10</v>
          </cell>
          <cell r="AB371">
            <v>105190</v>
          </cell>
          <cell r="AC371" t="str">
            <v>最上川中下流</v>
          </cell>
          <cell r="AD371" t="str">
            <v>Ａ</v>
          </cell>
          <cell r="AE371" t="str">
            <v>ロ</v>
          </cell>
          <cell r="AF371">
            <v>15</v>
          </cell>
          <cell r="AK371" t="str">
            <v>最上川</v>
          </cell>
          <cell r="AQ371" t="str">
            <v/>
          </cell>
          <cell r="AR371" t="str">
            <v>標準活性汚泥法</v>
          </cell>
          <cell r="AS371" t="str">
            <v>0600181002</v>
          </cell>
          <cell r="AT371" t="str">
            <v/>
          </cell>
          <cell r="AU371" t="str">
            <v>10</v>
          </cell>
          <cell r="AV371" t="str">
            <v>10</v>
          </cell>
          <cell r="AW371">
            <v>0</v>
          </cell>
          <cell r="AX371">
            <v>0</v>
          </cell>
          <cell r="AY371">
            <v>0</v>
          </cell>
          <cell r="AZ371">
            <v>0</v>
          </cell>
          <cell r="BA371">
            <v>0</v>
          </cell>
          <cell r="BD371" t="str">
            <v/>
          </cell>
          <cell r="BE371">
            <v>1</v>
          </cell>
          <cell r="BG371" t="str">
            <v>1100</v>
          </cell>
        </row>
        <row r="372">
          <cell r="B372" t="str">
            <v>G060018106100300</v>
          </cell>
          <cell r="C372" t="str">
            <v>06.山形県</v>
          </cell>
          <cell r="D372" t="str">
            <v>001</v>
          </cell>
          <cell r="E372" t="str">
            <v>最上川流域</v>
          </cell>
          <cell r="F372" t="str">
            <v>81</v>
          </cell>
          <cell r="G372" t="str">
            <v>流域</v>
          </cell>
          <cell r="H372" t="str">
            <v>流域下水道</v>
          </cell>
          <cell r="I372" t="str">
            <v/>
          </cell>
          <cell r="J372" t="str">
            <v>003</v>
          </cell>
          <cell r="K372" t="str">
            <v>山形浄化センター</v>
          </cell>
          <cell r="M372" t="str">
            <v>1</v>
          </cell>
          <cell r="N372" t="str">
            <v>1</v>
          </cell>
          <cell r="Q372">
            <v>33635</v>
          </cell>
          <cell r="R372" t="str">
            <v>平成</v>
          </cell>
          <cell r="S372">
            <v>4</v>
          </cell>
          <cell r="T372">
            <v>2</v>
          </cell>
          <cell r="AB372">
            <v>257300</v>
          </cell>
          <cell r="AC372" t="str">
            <v>最上川中下流</v>
          </cell>
          <cell r="AD372" t="str">
            <v>Ａ</v>
          </cell>
          <cell r="AE372" t="str">
            <v>ロ</v>
          </cell>
          <cell r="AF372">
            <v>15</v>
          </cell>
          <cell r="AK372" t="str">
            <v>最上川</v>
          </cell>
          <cell r="AQ372" t="str">
            <v/>
          </cell>
          <cell r="AR372" t="str">
            <v>標準活性汚泥法</v>
          </cell>
          <cell r="AS372" t="str">
            <v>0600181003</v>
          </cell>
          <cell r="AT372" t="str">
            <v/>
          </cell>
          <cell r="AU372" t="str">
            <v>10</v>
          </cell>
          <cell r="AV372" t="str">
            <v>10</v>
          </cell>
          <cell r="AW372">
            <v>0</v>
          </cell>
          <cell r="AX372">
            <v>0</v>
          </cell>
          <cell r="AY372">
            <v>0</v>
          </cell>
          <cell r="AZ372">
            <v>0</v>
          </cell>
          <cell r="BA372">
            <v>0</v>
          </cell>
          <cell r="BD372" t="str">
            <v/>
          </cell>
          <cell r="BE372">
            <v>1</v>
          </cell>
          <cell r="BG372" t="str">
            <v>1100</v>
          </cell>
        </row>
        <row r="373">
          <cell r="B373" t="str">
            <v>G060018106100400</v>
          </cell>
          <cell r="C373" t="str">
            <v>06.山形県</v>
          </cell>
          <cell r="D373" t="str">
            <v>001</v>
          </cell>
          <cell r="E373" t="str">
            <v>最上川流域</v>
          </cell>
          <cell r="F373" t="str">
            <v>81</v>
          </cell>
          <cell r="G373" t="str">
            <v>流域</v>
          </cell>
          <cell r="H373" t="str">
            <v>流域下水道</v>
          </cell>
          <cell r="I373" t="str">
            <v/>
          </cell>
          <cell r="J373" t="str">
            <v>004</v>
          </cell>
          <cell r="K373" t="str">
            <v>小菅浄化センター</v>
          </cell>
          <cell r="M373" t="str">
            <v>1</v>
          </cell>
          <cell r="N373" t="str">
            <v>1</v>
          </cell>
          <cell r="Q373">
            <v>37316</v>
          </cell>
          <cell r="R373" t="str">
            <v>平成</v>
          </cell>
          <cell r="S373">
            <v>14</v>
          </cell>
          <cell r="T373">
            <v>3</v>
          </cell>
          <cell r="U373" t="str">
            <v>廃止</v>
          </cell>
          <cell r="V373">
            <v>41094</v>
          </cell>
          <cell r="W373" t="str">
            <v>平成</v>
          </cell>
          <cell r="X373">
            <v>24</v>
          </cell>
          <cell r="Y373">
            <v>7</v>
          </cell>
          <cell r="AB373">
            <v>7848</v>
          </cell>
          <cell r="AC373" t="str">
            <v>最上川中下流</v>
          </cell>
          <cell r="AD373" t="str">
            <v>Ａ</v>
          </cell>
          <cell r="AE373" t="str">
            <v>ロ</v>
          </cell>
          <cell r="AF373">
            <v>15</v>
          </cell>
          <cell r="AI373" t="str">
            <v>農業排水路</v>
          </cell>
          <cell r="AK373" t="str">
            <v>最上川</v>
          </cell>
          <cell r="AQ373" t="str">
            <v>廃止</v>
          </cell>
          <cell r="AR373" t="str">
            <v/>
          </cell>
          <cell r="AS373" t="str">
            <v>0600181004</v>
          </cell>
          <cell r="AT373" t="str">
            <v/>
          </cell>
          <cell r="AU373" t="str">
            <v>10</v>
          </cell>
          <cell r="AV373" t="str">
            <v>00</v>
          </cell>
          <cell r="AW373">
            <v>0</v>
          </cell>
          <cell r="AX373">
            <v>-1</v>
          </cell>
          <cell r="AY373">
            <v>0</v>
          </cell>
          <cell r="AZ373">
            <v>0</v>
          </cell>
          <cell r="BA373">
            <v>1</v>
          </cell>
          <cell r="BB373" t="str">
            <v>場廃止</v>
          </cell>
          <cell r="BD373" t="str">
            <v>場廃止</v>
          </cell>
          <cell r="BE373">
            <v>0</v>
          </cell>
          <cell r="BG373">
            <v>9999</v>
          </cell>
        </row>
        <row r="374">
          <cell r="B374" t="str">
            <v>G060028106100100</v>
          </cell>
          <cell r="C374" t="str">
            <v>06.山形県</v>
          </cell>
          <cell r="D374" t="str">
            <v>002</v>
          </cell>
          <cell r="E374" t="str">
            <v>最上川下流流域</v>
          </cell>
          <cell r="F374" t="str">
            <v>81</v>
          </cell>
          <cell r="G374" t="str">
            <v>流域</v>
          </cell>
          <cell r="H374" t="str">
            <v>流域下水道</v>
          </cell>
          <cell r="I374" t="str">
            <v/>
          </cell>
          <cell r="J374" t="str">
            <v>001</v>
          </cell>
          <cell r="K374" t="str">
            <v>庄内浄化センター</v>
          </cell>
          <cell r="M374" t="str">
            <v>1</v>
          </cell>
          <cell r="N374" t="str">
            <v>1</v>
          </cell>
          <cell r="Q374">
            <v>36220</v>
          </cell>
          <cell r="R374" t="str">
            <v>平成</v>
          </cell>
          <cell r="S374">
            <v>11</v>
          </cell>
          <cell r="T374">
            <v>3</v>
          </cell>
          <cell r="AB374">
            <v>39600</v>
          </cell>
          <cell r="AC374" t="str">
            <v>最上川水系京田川</v>
          </cell>
          <cell r="AD374" t="str">
            <v>Ｂ</v>
          </cell>
          <cell r="AE374" t="str">
            <v>イ</v>
          </cell>
          <cell r="AF374">
            <v>15</v>
          </cell>
          <cell r="AK374" t="str">
            <v>京田川</v>
          </cell>
          <cell r="AQ374" t="str">
            <v/>
          </cell>
          <cell r="AR374" t="str">
            <v>標準活性汚泥法</v>
          </cell>
          <cell r="AS374" t="str">
            <v>0600281001</v>
          </cell>
          <cell r="AT374" t="str">
            <v/>
          </cell>
          <cell r="AU374" t="str">
            <v>10</v>
          </cell>
          <cell r="AV374" t="str">
            <v>10</v>
          </cell>
          <cell r="AW374">
            <v>0</v>
          </cell>
          <cell r="AX374">
            <v>0</v>
          </cell>
          <cell r="AY374">
            <v>0</v>
          </cell>
          <cell r="AZ374">
            <v>0</v>
          </cell>
          <cell r="BA374">
            <v>0</v>
          </cell>
          <cell r="BD374" t="str">
            <v/>
          </cell>
          <cell r="BE374">
            <v>1</v>
          </cell>
          <cell r="BG374" t="str">
            <v>1100</v>
          </cell>
        </row>
        <row r="375">
          <cell r="B375" t="str">
            <v>G062010106100100</v>
          </cell>
          <cell r="C375" t="str">
            <v>06.山形県</v>
          </cell>
          <cell r="D375" t="str">
            <v>201</v>
          </cell>
          <cell r="E375" t="str">
            <v>山形市</v>
          </cell>
          <cell r="F375" t="str">
            <v>01</v>
          </cell>
          <cell r="G375" t="str">
            <v>公共 単独</v>
          </cell>
          <cell r="H375" t="str">
            <v>公共下水道</v>
          </cell>
          <cell r="I375" t="str">
            <v>単独</v>
          </cell>
          <cell r="J375" t="str">
            <v>001</v>
          </cell>
          <cell r="K375" t="str">
            <v>山形市浄化センター</v>
          </cell>
          <cell r="M375" t="str">
            <v>1</v>
          </cell>
          <cell r="N375" t="str">
            <v>1</v>
          </cell>
          <cell r="O375" t="str">
            <v>1</v>
          </cell>
          <cell r="Q375">
            <v>24047</v>
          </cell>
          <cell r="R375" t="str">
            <v>昭和</v>
          </cell>
          <cell r="S375">
            <v>40</v>
          </cell>
          <cell r="T375">
            <v>11</v>
          </cell>
          <cell r="AB375">
            <v>77400</v>
          </cell>
          <cell r="AC375" t="str">
            <v>須川</v>
          </cell>
          <cell r="AD375" t="str">
            <v>Ｂ</v>
          </cell>
          <cell r="AE375" t="str">
            <v>ロ</v>
          </cell>
          <cell r="AF375">
            <v>15</v>
          </cell>
          <cell r="AI375" t="str">
            <v>嶋堰幹線</v>
          </cell>
          <cell r="AK375" t="str">
            <v>須川</v>
          </cell>
          <cell r="AQ375" t="str">
            <v/>
          </cell>
          <cell r="AR375" t="str">
            <v>標準活性汚泥法</v>
          </cell>
          <cell r="AS375" t="str">
            <v>0620101001</v>
          </cell>
          <cell r="AT375" t="str">
            <v/>
          </cell>
          <cell r="AU375" t="str">
            <v>11</v>
          </cell>
          <cell r="AV375" t="str">
            <v>11</v>
          </cell>
          <cell r="AW375">
            <v>0</v>
          </cell>
          <cell r="AX375">
            <v>0</v>
          </cell>
          <cell r="AY375">
            <v>0</v>
          </cell>
          <cell r="AZ375">
            <v>0</v>
          </cell>
          <cell r="BA375">
            <v>0</v>
          </cell>
          <cell r="BD375" t="str">
            <v/>
          </cell>
          <cell r="BE375">
            <v>1</v>
          </cell>
          <cell r="BG375" t="str">
            <v>1110</v>
          </cell>
        </row>
        <row r="376">
          <cell r="B376" t="str">
            <v>G062010106100200</v>
          </cell>
          <cell r="C376" t="str">
            <v>06.山形県</v>
          </cell>
          <cell r="D376" t="str">
            <v>201</v>
          </cell>
          <cell r="E376" t="str">
            <v>山形市</v>
          </cell>
          <cell r="F376" t="str">
            <v>01</v>
          </cell>
          <cell r="G376" t="str">
            <v>公共 単独</v>
          </cell>
          <cell r="H376" t="str">
            <v>公共下水道</v>
          </cell>
          <cell r="I376" t="str">
            <v>単独</v>
          </cell>
          <cell r="J376" t="str">
            <v>002</v>
          </cell>
          <cell r="K376" t="str">
            <v>前明石ケーキ処理場</v>
          </cell>
          <cell r="O376" t="str">
            <v>1</v>
          </cell>
          <cell r="Q376">
            <v>29312</v>
          </cell>
          <cell r="R376" t="str">
            <v>昭和</v>
          </cell>
          <cell r="S376">
            <v>55</v>
          </cell>
          <cell r="T376">
            <v>4</v>
          </cell>
          <cell r="AB376">
            <v>14320</v>
          </cell>
          <cell r="AC376" t="str">
            <v>該当しない</v>
          </cell>
          <cell r="AI376" t="str">
            <v>該当しない</v>
          </cell>
          <cell r="AQ376" t="str">
            <v/>
          </cell>
          <cell r="AR376" t="str">
            <v/>
          </cell>
          <cell r="AS376" t="str">
            <v>0620101002</v>
          </cell>
          <cell r="AT376" t="str">
            <v/>
          </cell>
          <cell r="AU376" t="str">
            <v>01</v>
          </cell>
          <cell r="AV376" t="str">
            <v>01</v>
          </cell>
          <cell r="AW376">
            <v>0</v>
          </cell>
          <cell r="AX376">
            <v>0</v>
          </cell>
          <cell r="AY376">
            <v>0</v>
          </cell>
          <cell r="AZ376">
            <v>0</v>
          </cell>
          <cell r="BA376">
            <v>0</v>
          </cell>
          <cell r="BD376" t="str">
            <v/>
          </cell>
          <cell r="BE376">
            <v>1</v>
          </cell>
          <cell r="BG376" t="str">
            <v>0010</v>
          </cell>
        </row>
        <row r="377">
          <cell r="B377" t="str">
            <v>G062020106100100</v>
          </cell>
          <cell r="C377" t="str">
            <v>06.山形県</v>
          </cell>
          <cell r="D377" t="str">
            <v>202</v>
          </cell>
          <cell r="E377" t="str">
            <v>米沢市</v>
          </cell>
          <cell r="F377" t="str">
            <v>01</v>
          </cell>
          <cell r="G377" t="str">
            <v>公共 単独</v>
          </cell>
          <cell r="H377" t="str">
            <v>公共下水道</v>
          </cell>
          <cell r="I377" t="str">
            <v>単独</v>
          </cell>
          <cell r="J377" t="str">
            <v>001</v>
          </cell>
          <cell r="K377" t="str">
            <v>米沢浄水管理センター</v>
          </cell>
          <cell r="M377" t="str">
            <v>1</v>
          </cell>
          <cell r="N377" t="str">
            <v>1</v>
          </cell>
          <cell r="Q377">
            <v>31472</v>
          </cell>
          <cell r="R377" t="str">
            <v>昭和</v>
          </cell>
          <cell r="S377">
            <v>61</v>
          </cell>
          <cell r="T377">
            <v>3</v>
          </cell>
          <cell r="AB377">
            <v>132000</v>
          </cell>
          <cell r="AC377" t="str">
            <v>最上川上流</v>
          </cell>
          <cell r="AD377" t="str">
            <v>Ｂ</v>
          </cell>
          <cell r="AE377" t="str">
            <v>ロ</v>
          </cell>
          <cell r="AF377">
            <v>15</v>
          </cell>
          <cell r="AK377" t="str">
            <v>最上川</v>
          </cell>
          <cell r="AQ377" t="str">
            <v/>
          </cell>
          <cell r="AR377" t="str">
            <v>標準活性汚泥法</v>
          </cell>
          <cell r="AS377" t="str">
            <v>0620201001</v>
          </cell>
          <cell r="AT377" t="str">
            <v/>
          </cell>
          <cell r="AU377" t="str">
            <v>10</v>
          </cell>
          <cell r="AV377" t="str">
            <v>10</v>
          </cell>
          <cell r="AW377">
            <v>0</v>
          </cell>
          <cell r="AX377">
            <v>0</v>
          </cell>
          <cell r="AY377">
            <v>0</v>
          </cell>
          <cell r="AZ377">
            <v>0</v>
          </cell>
          <cell r="BA377">
            <v>0</v>
          </cell>
          <cell r="BD377" t="str">
            <v/>
          </cell>
          <cell r="BE377">
            <v>1</v>
          </cell>
          <cell r="BG377" t="str">
            <v>1100</v>
          </cell>
        </row>
        <row r="378">
          <cell r="B378" t="str">
            <v>G062030106100100</v>
          </cell>
          <cell r="C378" t="str">
            <v>06.山形県</v>
          </cell>
          <cell r="D378" t="str">
            <v>203</v>
          </cell>
          <cell r="E378" t="str">
            <v>鶴岡市</v>
          </cell>
          <cell r="F378" t="str">
            <v>01</v>
          </cell>
          <cell r="G378" t="str">
            <v>公共 単独</v>
          </cell>
          <cell r="H378" t="str">
            <v>公共下水道</v>
          </cell>
          <cell r="I378" t="str">
            <v>単独</v>
          </cell>
          <cell r="J378" t="str">
            <v>001</v>
          </cell>
          <cell r="K378" t="str">
            <v>鶴岡市浄化センター</v>
          </cell>
          <cell r="M378" t="str">
            <v>1</v>
          </cell>
          <cell r="N378" t="str">
            <v>1</v>
          </cell>
          <cell r="O378" t="str">
            <v>1</v>
          </cell>
          <cell r="Q378">
            <v>29342</v>
          </cell>
          <cell r="R378" t="str">
            <v>昭和</v>
          </cell>
          <cell r="S378">
            <v>55</v>
          </cell>
          <cell r="T378">
            <v>5</v>
          </cell>
          <cell r="AB378">
            <v>69443</v>
          </cell>
          <cell r="AC378" t="str">
            <v>赤川</v>
          </cell>
          <cell r="AD378" t="str">
            <v>Ａ</v>
          </cell>
          <cell r="AE378" t="str">
            <v>イ</v>
          </cell>
          <cell r="AF378">
            <v>15</v>
          </cell>
          <cell r="AK378" t="str">
            <v>赤川</v>
          </cell>
          <cell r="AQ378" t="str">
            <v/>
          </cell>
          <cell r="AR378" t="str">
            <v>標準活性汚泥法</v>
          </cell>
          <cell r="AS378" t="str">
            <v>0620301001</v>
          </cell>
          <cell r="AT378" t="str">
            <v/>
          </cell>
          <cell r="AU378" t="str">
            <v>11</v>
          </cell>
          <cell r="AV378" t="str">
            <v>11</v>
          </cell>
          <cell r="AW378">
            <v>0</v>
          </cell>
          <cell r="AX378">
            <v>0</v>
          </cell>
          <cell r="AY378">
            <v>0</v>
          </cell>
          <cell r="AZ378">
            <v>0</v>
          </cell>
          <cell r="BA378">
            <v>0</v>
          </cell>
          <cell r="BD378" t="str">
            <v/>
          </cell>
          <cell r="BE378">
            <v>1</v>
          </cell>
          <cell r="BG378" t="str">
            <v>1110</v>
          </cell>
        </row>
        <row r="379">
          <cell r="B379" t="str">
            <v>G062030106100200</v>
          </cell>
          <cell r="C379" t="str">
            <v>06.山形県</v>
          </cell>
          <cell r="D379" t="str">
            <v>203</v>
          </cell>
          <cell r="E379" t="str">
            <v>鶴岡市</v>
          </cell>
          <cell r="F379" t="str">
            <v>01</v>
          </cell>
          <cell r="G379" t="str">
            <v>公共 単独</v>
          </cell>
          <cell r="H379" t="str">
            <v>公共下水道</v>
          </cell>
          <cell r="I379" t="str">
            <v>単独</v>
          </cell>
          <cell r="J379" t="str">
            <v>002</v>
          </cell>
          <cell r="K379" t="str">
            <v>温海浄化センター</v>
          </cell>
          <cell r="M379" t="str">
            <v>1</v>
          </cell>
          <cell r="N379" t="str">
            <v>1</v>
          </cell>
          <cell r="Q379">
            <v>32599</v>
          </cell>
          <cell r="R379" t="str">
            <v>平成</v>
          </cell>
          <cell r="S379">
            <v>1</v>
          </cell>
          <cell r="T379">
            <v>4</v>
          </cell>
          <cell r="AB379">
            <v>11228</v>
          </cell>
          <cell r="AC379" t="str">
            <v>温海川</v>
          </cell>
          <cell r="AD379" t="str">
            <v>Ａ</v>
          </cell>
          <cell r="AE379" t="str">
            <v>イ</v>
          </cell>
          <cell r="AF379">
            <v>15</v>
          </cell>
          <cell r="AJ379" t="str">
            <v>温海川</v>
          </cell>
          <cell r="AL379" t="str">
            <v>温海浄水場</v>
          </cell>
          <cell r="AM379">
            <v>2.5</v>
          </cell>
          <cell r="AO379" t="str">
            <v>鶴岡市</v>
          </cell>
          <cell r="AQ379" t="str">
            <v/>
          </cell>
          <cell r="AR379" t="str">
            <v>オキシディションディッチ法</v>
          </cell>
          <cell r="AS379" t="str">
            <v>0620301002</v>
          </cell>
          <cell r="AT379" t="str">
            <v/>
          </cell>
          <cell r="AU379" t="str">
            <v>10</v>
          </cell>
          <cell r="AV379" t="str">
            <v>10</v>
          </cell>
          <cell r="AW379">
            <v>0</v>
          </cell>
          <cell r="AX379">
            <v>0</v>
          </cell>
          <cell r="AY379">
            <v>0</v>
          </cell>
          <cell r="AZ379">
            <v>0</v>
          </cell>
          <cell r="BA379">
            <v>0</v>
          </cell>
          <cell r="BD379" t="str">
            <v/>
          </cell>
          <cell r="BE379">
            <v>1</v>
          </cell>
          <cell r="BG379" t="str">
            <v>1100</v>
          </cell>
        </row>
        <row r="380">
          <cell r="B380" t="str">
            <v>G062030106100300</v>
          </cell>
          <cell r="C380" t="str">
            <v>06.山形県</v>
          </cell>
          <cell r="D380" t="str">
            <v>203</v>
          </cell>
          <cell r="E380" t="str">
            <v>鶴岡市</v>
          </cell>
          <cell r="F380" t="str">
            <v>01</v>
          </cell>
          <cell r="G380" t="str">
            <v>公共 単独</v>
          </cell>
          <cell r="H380" t="str">
            <v>公共下水道</v>
          </cell>
          <cell r="I380" t="str">
            <v>単独</v>
          </cell>
          <cell r="J380" t="str">
            <v>003</v>
          </cell>
          <cell r="K380" t="str">
            <v>湯野浜浄化センター</v>
          </cell>
          <cell r="M380" t="str">
            <v>1</v>
          </cell>
          <cell r="N380" t="str">
            <v>1</v>
          </cell>
          <cell r="Q380">
            <v>33878</v>
          </cell>
          <cell r="R380" t="str">
            <v>平成</v>
          </cell>
          <cell r="S380">
            <v>4</v>
          </cell>
          <cell r="T380">
            <v>10</v>
          </cell>
          <cell r="AB380">
            <v>15386</v>
          </cell>
          <cell r="AC380" t="str">
            <v>設定なし</v>
          </cell>
          <cell r="AF380">
            <v>15</v>
          </cell>
          <cell r="AI380" t="str">
            <v>日本海</v>
          </cell>
          <cell r="AQ380" t="str">
            <v/>
          </cell>
          <cell r="AR380" t="str">
            <v>オキシディションディッチ法</v>
          </cell>
          <cell r="AS380" t="str">
            <v>0620301003</v>
          </cell>
          <cell r="AT380" t="str">
            <v/>
          </cell>
          <cell r="AU380" t="str">
            <v>10</v>
          </cell>
          <cell r="AV380" t="str">
            <v>10</v>
          </cell>
          <cell r="AW380">
            <v>0</v>
          </cell>
          <cell r="AX380">
            <v>0</v>
          </cell>
          <cell r="AY380">
            <v>0</v>
          </cell>
          <cell r="AZ380">
            <v>0</v>
          </cell>
          <cell r="BA380">
            <v>0</v>
          </cell>
          <cell r="BD380" t="str">
            <v/>
          </cell>
          <cell r="BE380">
            <v>1</v>
          </cell>
          <cell r="BG380" t="str">
            <v>1100</v>
          </cell>
        </row>
        <row r="381">
          <cell r="B381" t="str">
            <v>G062030106100400</v>
          </cell>
          <cell r="C381" t="str">
            <v>06.山形県</v>
          </cell>
          <cell r="D381" t="str">
            <v>203</v>
          </cell>
          <cell r="E381" t="str">
            <v>鶴岡市</v>
          </cell>
          <cell r="F381" t="str">
            <v>01</v>
          </cell>
          <cell r="G381" t="str">
            <v>公共 単独</v>
          </cell>
          <cell r="H381" t="str">
            <v>公共下水道</v>
          </cell>
          <cell r="I381" t="str">
            <v>単独</v>
          </cell>
          <cell r="J381" t="str">
            <v>004</v>
          </cell>
          <cell r="K381" t="str">
            <v>櫛引浄化センター</v>
          </cell>
          <cell r="M381" t="str">
            <v>1</v>
          </cell>
          <cell r="N381" t="str">
            <v>1</v>
          </cell>
          <cell r="Q381">
            <v>35004</v>
          </cell>
          <cell r="R381" t="str">
            <v>平成</v>
          </cell>
          <cell r="S381">
            <v>7</v>
          </cell>
          <cell r="T381">
            <v>11</v>
          </cell>
          <cell r="AB381">
            <v>11310</v>
          </cell>
          <cell r="AC381" t="str">
            <v>内川</v>
          </cell>
          <cell r="AD381" t="str">
            <v>Ｂ</v>
          </cell>
          <cell r="AE381" t="str">
            <v>イ</v>
          </cell>
          <cell r="AF381">
            <v>15</v>
          </cell>
          <cell r="AI381" t="str">
            <v>丸岡分水路</v>
          </cell>
          <cell r="AJ381" t="str">
            <v>内川</v>
          </cell>
          <cell r="AQ381" t="str">
            <v/>
          </cell>
          <cell r="AR381" t="str">
            <v>オキシディションディッチ法</v>
          </cell>
          <cell r="AS381" t="str">
            <v>0620301004</v>
          </cell>
          <cell r="AT381" t="str">
            <v/>
          </cell>
          <cell r="AU381" t="str">
            <v>10</v>
          </cell>
          <cell r="AV381" t="str">
            <v>10</v>
          </cell>
          <cell r="AW381">
            <v>0</v>
          </cell>
          <cell r="AX381">
            <v>0</v>
          </cell>
          <cell r="AY381">
            <v>0</v>
          </cell>
          <cell r="AZ381">
            <v>0</v>
          </cell>
          <cell r="BA381">
            <v>0</v>
          </cell>
          <cell r="BD381" t="str">
            <v/>
          </cell>
          <cell r="BE381">
            <v>1</v>
          </cell>
          <cell r="BG381" t="str">
            <v>1100</v>
          </cell>
        </row>
        <row r="382">
          <cell r="B382" t="str">
            <v>G062030106100500</v>
          </cell>
          <cell r="C382" t="str">
            <v>06.山形県</v>
          </cell>
          <cell r="D382" t="str">
            <v>203</v>
          </cell>
          <cell r="E382" t="str">
            <v>鶴岡市</v>
          </cell>
          <cell r="F382" t="str">
            <v>01</v>
          </cell>
          <cell r="G382" t="str">
            <v>公共 単独</v>
          </cell>
          <cell r="H382" t="str">
            <v>公共下水道</v>
          </cell>
          <cell r="I382" t="str">
            <v>単独</v>
          </cell>
          <cell r="J382" t="str">
            <v>005</v>
          </cell>
          <cell r="K382" t="str">
            <v>鼠ヶ関浄化センター</v>
          </cell>
          <cell r="M382" t="str">
            <v>1</v>
          </cell>
          <cell r="N382" t="str">
            <v>1</v>
          </cell>
          <cell r="Q382">
            <v>36251</v>
          </cell>
          <cell r="R382" t="str">
            <v>平成</v>
          </cell>
          <cell r="S382">
            <v>11</v>
          </cell>
          <cell r="T382">
            <v>4</v>
          </cell>
          <cell r="AB382">
            <v>9032</v>
          </cell>
          <cell r="AC382" t="str">
            <v>鼠ヶ関川</v>
          </cell>
          <cell r="AD382" t="str">
            <v>Ａ</v>
          </cell>
          <cell r="AE382" t="str">
            <v>イ</v>
          </cell>
          <cell r="AF382">
            <v>15</v>
          </cell>
          <cell r="AI382" t="str">
            <v>農業用水路</v>
          </cell>
          <cell r="AJ382" t="str">
            <v>鼠ヶ関川</v>
          </cell>
          <cell r="AL382" t="str">
            <v>第５水源</v>
          </cell>
          <cell r="AM382">
            <v>1</v>
          </cell>
          <cell r="AO382" t="str">
            <v>鶴岡市</v>
          </cell>
          <cell r="AQ382" t="str">
            <v/>
          </cell>
          <cell r="AR382" t="str">
            <v>オキシディションディッチ法</v>
          </cell>
          <cell r="AS382" t="str">
            <v>0620301005</v>
          </cell>
          <cell r="AT382" t="str">
            <v/>
          </cell>
          <cell r="AU382" t="str">
            <v>10</v>
          </cell>
          <cell r="AV382" t="str">
            <v>10</v>
          </cell>
          <cell r="AW382">
            <v>0</v>
          </cell>
          <cell r="AX382">
            <v>0</v>
          </cell>
          <cell r="AY382">
            <v>0</v>
          </cell>
          <cell r="AZ382">
            <v>0</v>
          </cell>
          <cell r="BA382">
            <v>0</v>
          </cell>
          <cell r="BD382" t="str">
            <v/>
          </cell>
          <cell r="BE382">
            <v>1</v>
          </cell>
          <cell r="BG382" t="str">
            <v>1100</v>
          </cell>
        </row>
        <row r="383">
          <cell r="B383" t="str">
            <v>G062030106100600</v>
          </cell>
          <cell r="C383" t="str">
            <v>06.山形県</v>
          </cell>
          <cell r="D383" t="str">
            <v>203</v>
          </cell>
          <cell r="E383" t="str">
            <v>鶴岡市</v>
          </cell>
          <cell r="F383" t="str">
            <v>01</v>
          </cell>
          <cell r="G383" t="str">
            <v>公共 単独</v>
          </cell>
          <cell r="H383" t="str">
            <v>公共下水道</v>
          </cell>
          <cell r="I383" t="str">
            <v>単独</v>
          </cell>
          <cell r="J383" t="str">
            <v>006</v>
          </cell>
          <cell r="K383" t="str">
            <v>鶴岡市コンポストセンター</v>
          </cell>
          <cell r="O383" t="str">
            <v>1</v>
          </cell>
          <cell r="Q383">
            <v>31503</v>
          </cell>
          <cell r="R383" t="str">
            <v>昭和</v>
          </cell>
          <cell r="S383">
            <v>61</v>
          </cell>
          <cell r="T383">
            <v>4</v>
          </cell>
          <cell r="AB383">
            <v>5953</v>
          </cell>
          <cell r="AC383" t="str">
            <v>該当しない</v>
          </cell>
          <cell r="AI383" t="str">
            <v>該当しない</v>
          </cell>
          <cell r="AQ383" t="str">
            <v/>
          </cell>
          <cell r="AR383" t="str">
            <v/>
          </cell>
          <cell r="AS383" t="str">
            <v>0620301006</v>
          </cell>
          <cell r="AT383" t="str">
            <v/>
          </cell>
          <cell r="AU383" t="str">
            <v>01</v>
          </cell>
          <cell r="AV383" t="str">
            <v>01</v>
          </cell>
          <cell r="AW383">
            <v>0</v>
          </cell>
          <cell r="AX383">
            <v>0</v>
          </cell>
          <cell r="AY383">
            <v>0</v>
          </cell>
          <cell r="AZ383">
            <v>0</v>
          </cell>
          <cell r="BA383">
            <v>0</v>
          </cell>
          <cell r="BD383" t="str">
            <v/>
          </cell>
          <cell r="BE383">
            <v>1</v>
          </cell>
          <cell r="BG383" t="str">
            <v>0010</v>
          </cell>
        </row>
        <row r="384">
          <cell r="B384" t="str">
            <v>G062030206100700</v>
          </cell>
          <cell r="C384" t="str">
            <v>06.山形県</v>
          </cell>
          <cell r="D384" t="str">
            <v>203</v>
          </cell>
          <cell r="E384" t="str">
            <v>鶴岡市</v>
          </cell>
          <cell r="F384" t="str">
            <v>02</v>
          </cell>
          <cell r="G384" t="str">
            <v>特環 単独</v>
          </cell>
          <cell r="H384" t="str">
            <v>特定環境保全公共下水道</v>
          </cell>
          <cell r="I384" t="str">
            <v>単独</v>
          </cell>
          <cell r="J384" t="str">
            <v>007</v>
          </cell>
          <cell r="K384" t="str">
            <v>羽黒浄化センター</v>
          </cell>
          <cell r="M384" t="str">
            <v>1</v>
          </cell>
          <cell r="N384" t="str">
            <v>1</v>
          </cell>
          <cell r="Q384">
            <v>31199</v>
          </cell>
          <cell r="R384" t="str">
            <v>昭和</v>
          </cell>
          <cell r="S384">
            <v>60</v>
          </cell>
          <cell r="T384">
            <v>6</v>
          </cell>
          <cell r="AB384">
            <v>4749</v>
          </cell>
          <cell r="AC384" t="str">
            <v>京田川</v>
          </cell>
          <cell r="AD384" t="str">
            <v>Ａ</v>
          </cell>
          <cell r="AE384" t="str">
            <v>イ</v>
          </cell>
          <cell r="AF384">
            <v>15</v>
          </cell>
          <cell r="AI384" t="str">
            <v>京田川</v>
          </cell>
          <cell r="AK384" t="str">
            <v>最上川</v>
          </cell>
          <cell r="AQ384" t="str">
            <v/>
          </cell>
          <cell r="AR384" t="str">
            <v>標準活性汚泥法</v>
          </cell>
          <cell r="AS384" t="str">
            <v>0620302007</v>
          </cell>
          <cell r="AT384" t="str">
            <v/>
          </cell>
          <cell r="AU384" t="str">
            <v>10</v>
          </cell>
          <cell r="AV384" t="str">
            <v>10</v>
          </cell>
          <cell r="AW384">
            <v>0</v>
          </cell>
          <cell r="AX384">
            <v>0</v>
          </cell>
          <cell r="AY384">
            <v>0</v>
          </cell>
          <cell r="AZ384">
            <v>0</v>
          </cell>
          <cell r="BA384">
            <v>0</v>
          </cell>
          <cell r="BD384" t="str">
            <v/>
          </cell>
          <cell r="BE384">
            <v>1</v>
          </cell>
          <cell r="BG384" t="str">
            <v>1100</v>
          </cell>
        </row>
        <row r="385">
          <cell r="B385" t="str">
            <v>G062030206100800</v>
          </cell>
          <cell r="C385" t="str">
            <v>06.山形県</v>
          </cell>
          <cell r="D385" t="str">
            <v>203</v>
          </cell>
          <cell r="E385" t="str">
            <v>鶴岡市</v>
          </cell>
          <cell r="F385" t="str">
            <v>02</v>
          </cell>
          <cell r="G385" t="str">
            <v>特環 単独</v>
          </cell>
          <cell r="H385" t="str">
            <v>特定環境保全公共下水道</v>
          </cell>
          <cell r="I385" t="str">
            <v>単独</v>
          </cell>
          <cell r="J385" t="str">
            <v>008</v>
          </cell>
          <cell r="K385" t="str">
            <v>羽黒西部浄化センター</v>
          </cell>
          <cell r="M385" t="str">
            <v>1</v>
          </cell>
          <cell r="Q385">
            <v>34425</v>
          </cell>
          <cell r="R385" t="str">
            <v>平成</v>
          </cell>
          <cell r="S385">
            <v>6</v>
          </cell>
          <cell r="T385">
            <v>4</v>
          </cell>
          <cell r="AB385">
            <v>2467</v>
          </cell>
          <cell r="AC385" t="str">
            <v>藤島川</v>
          </cell>
          <cell r="AD385" t="str">
            <v>Ａ</v>
          </cell>
          <cell r="AE385" t="str">
            <v>イ</v>
          </cell>
          <cell r="AF385">
            <v>15</v>
          </cell>
          <cell r="AI385" t="str">
            <v>藤島川</v>
          </cell>
          <cell r="AK385" t="str">
            <v>最上川</v>
          </cell>
          <cell r="AQ385" t="str">
            <v/>
          </cell>
          <cell r="AR385" t="str">
            <v>オキシディションディッチ法</v>
          </cell>
          <cell r="AS385" t="str">
            <v>0620302008</v>
          </cell>
          <cell r="AT385" t="str">
            <v/>
          </cell>
          <cell r="AU385" t="str">
            <v>00</v>
          </cell>
          <cell r="AV385" t="str">
            <v>00</v>
          </cell>
          <cell r="AW385">
            <v>0</v>
          </cell>
          <cell r="AX385">
            <v>0</v>
          </cell>
          <cell r="AY385">
            <v>0</v>
          </cell>
          <cell r="AZ385">
            <v>0</v>
          </cell>
          <cell r="BA385">
            <v>0</v>
          </cell>
          <cell r="BB385" t="str">
            <v>濃縮休止</v>
          </cell>
          <cell r="BD385" t="str">
            <v>濃縮休止</v>
          </cell>
          <cell r="BE385">
            <v>1</v>
          </cell>
          <cell r="BG385" t="str">
            <v>1000</v>
          </cell>
        </row>
        <row r="386">
          <cell r="B386" t="str">
            <v>G062030206100900</v>
          </cell>
          <cell r="C386" t="str">
            <v>06.山形県</v>
          </cell>
          <cell r="D386" t="str">
            <v>203</v>
          </cell>
          <cell r="E386" t="str">
            <v>鶴岡市</v>
          </cell>
          <cell r="F386" t="str">
            <v>02</v>
          </cell>
          <cell r="G386" t="str">
            <v>特環 単独</v>
          </cell>
          <cell r="H386" t="str">
            <v>特定環境保全公共下水道</v>
          </cell>
          <cell r="I386" t="str">
            <v>単独</v>
          </cell>
          <cell r="J386" t="str">
            <v>009</v>
          </cell>
          <cell r="K386" t="str">
            <v>あさひ浄化センター</v>
          </cell>
          <cell r="M386" t="str">
            <v>1</v>
          </cell>
          <cell r="N386" t="str">
            <v>1</v>
          </cell>
          <cell r="Q386">
            <v>36708</v>
          </cell>
          <cell r="R386" t="str">
            <v>平成</v>
          </cell>
          <cell r="S386">
            <v>12</v>
          </cell>
          <cell r="T386">
            <v>7</v>
          </cell>
          <cell r="AB386">
            <v>6661</v>
          </cell>
          <cell r="AC386" t="str">
            <v>赤川</v>
          </cell>
          <cell r="AD386" t="str">
            <v>Ａ</v>
          </cell>
          <cell r="AE386" t="str">
            <v>イ</v>
          </cell>
          <cell r="AI386" t="str">
            <v>農業用水路</v>
          </cell>
          <cell r="AK386" t="str">
            <v>赤川</v>
          </cell>
          <cell r="AQ386" t="str">
            <v/>
          </cell>
          <cell r="AR386" t="str">
            <v>オキシディションディッチ法</v>
          </cell>
          <cell r="AS386" t="str">
            <v>0620302009</v>
          </cell>
          <cell r="AT386" t="str">
            <v/>
          </cell>
          <cell r="AU386" t="str">
            <v>10</v>
          </cell>
          <cell r="AV386" t="str">
            <v>10</v>
          </cell>
          <cell r="AW386">
            <v>0</v>
          </cell>
          <cell r="AX386">
            <v>0</v>
          </cell>
          <cell r="AY386">
            <v>0</v>
          </cell>
          <cell r="AZ386">
            <v>0</v>
          </cell>
          <cell r="BA386">
            <v>0</v>
          </cell>
          <cell r="BD386" t="str">
            <v/>
          </cell>
          <cell r="BE386">
            <v>1</v>
          </cell>
          <cell r="BG386" t="str">
            <v>1100</v>
          </cell>
        </row>
        <row r="387">
          <cell r="B387" t="str">
            <v>G062040106100100</v>
          </cell>
          <cell r="C387" t="str">
            <v>06.山形県</v>
          </cell>
          <cell r="D387" t="str">
            <v>204</v>
          </cell>
          <cell r="E387" t="str">
            <v>酒田市</v>
          </cell>
          <cell r="F387" t="str">
            <v>01</v>
          </cell>
          <cell r="G387" t="str">
            <v>公共 単独</v>
          </cell>
          <cell r="H387" t="str">
            <v>公共下水道</v>
          </cell>
          <cell r="I387" t="str">
            <v>単独</v>
          </cell>
          <cell r="J387" t="str">
            <v>001</v>
          </cell>
          <cell r="K387" t="str">
            <v>酒田市クリーンセンター</v>
          </cell>
          <cell r="M387" t="str">
            <v>1</v>
          </cell>
          <cell r="N387" t="str">
            <v>1</v>
          </cell>
          <cell r="Q387">
            <v>29129</v>
          </cell>
          <cell r="R387" t="str">
            <v>昭和</v>
          </cell>
          <cell r="S387">
            <v>54</v>
          </cell>
          <cell r="T387">
            <v>10</v>
          </cell>
          <cell r="AB387">
            <v>72000</v>
          </cell>
          <cell r="AC387" t="str">
            <v>新井田川</v>
          </cell>
          <cell r="AD387" t="str">
            <v>Ｃ</v>
          </cell>
          <cell r="AE387" t="str">
            <v>ハ</v>
          </cell>
          <cell r="AF387">
            <v>15</v>
          </cell>
          <cell r="AJ387" t="str">
            <v>新井田川</v>
          </cell>
          <cell r="AQ387" t="str">
            <v/>
          </cell>
          <cell r="AR387" t="str">
            <v>標準活性汚泥法</v>
          </cell>
          <cell r="AS387" t="str">
            <v>0620401001</v>
          </cell>
          <cell r="AT387" t="str">
            <v/>
          </cell>
          <cell r="AU387" t="str">
            <v>10</v>
          </cell>
          <cell r="AV387" t="str">
            <v>10</v>
          </cell>
          <cell r="AW387">
            <v>0</v>
          </cell>
          <cell r="AX387">
            <v>0</v>
          </cell>
          <cell r="AY387">
            <v>0</v>
          </cell>
          <cell r="AZ387">
            <v>0</v>
          </cell>
          <cell r="BA387">
            <v>0</v>
          </cell>
          <cell r="BD387" t="str">
            <v/>
          </cell>
          <cell r="BE387">
            <v>1</v>
          </cell>
          <cell r="BG387" t="str">
            <v>1100</v>
          </cell>
        </row>
        <row r="388">
          <cell r="B388" t="str">
            <v>G062040106100200</v>
          </cell>
          <cell r="C388" t="str">
            <v>06.山形県</v>
          </cell>
          <cell r="D388" t="str">
            <v>204</v>
          </cell>
          <cell r="E388" t="str">
            <v>酒田市</v>
          </cell>
          <cell r="F388" t="str">
            <v>01</v>
          </cell>
          <cell r="G388" t="str">
            <v>公共 単独</v>
          </cell>
          <cell r="H388" t="str">
            <v>公共下水道</v>
          </cell>
          <cell r="I388" t="str">
            <v>単独</v>
          </cell>
          <cell r="J388" t="str">
            <v>002</v>
          </cell>
          <cell r="K388" t="str">
            <v>八幡浄化センター</v>
          </cell>
          <cell r="M388" t="str">
            <v>1</v>
          </cell>
          <cell r="Q388">
            <v>34608</v>
          </cell>
          <cell r="R388" t="str">
            <v>平成</v>
          </cell>
          <cell r="S388">
            <v>6</v>
          </cell>
          <cell r="T388">
            <v>10</v>
          </cell>
          <cell r="AB388">
            <v>11600</v>
          </cell>
          <cell r="AC388" t="str">
            <v>日向川</v>
          </cell>
          <cell r="AD388" t="str">
            <v>Ａ</v>
          </cell>
          <cell r="AE388" t="str">
            <v>ロ</v>
          </cell>
          <cell r="AF388">
            <v>15</v>
          </cell>
          <cell r="AJ388" t="str">
            <v>荒瀬川</v>
          </cell>
          <cell r="AQ388" t="str">
            <v/>
          </cell>
          <cell r="AR388" t="str">
            <v>好気性ろ床法</v>
          </cell>
          <cell r="AS388" t="str">
            <v>0620401002</v>
          </cell>
          <cell r="AT388" t="str">
            <v/>
          </cell>
          <cell r="AU388" t="str">
            <v>00</v>
          </cell>
          <cell r="AV388" t="str">
            <v>00</v>
          </cell>
          <cell r="AW388">
            <v>0</v>
          </cell>
          <cell r="AX388">
            <v>0</v>
          </cell>
          <cell r="AY388">
            <v>0</v>
          </cell>
          <cell r="AZ388">
            <v>0</v>
          </cell>
          <cell r="BA388">
            <v>0</v>
          </cell>
          <cell r="BD388" t="str">
            <v/>
          </cell>
          <cell r="BE388">
            <v>1</v>
          </cell>
          <cell r="BG388" t="str">
            <v>1000</v>
          </cell>
        </row>
        <row r="389">
          <cell r="B389" t="str">
            <v>G062040206100300</v>
          </cell>
          <cell r="C389" t="str">
            <v>06.山形県</v>
          </cell>
          <cell r="D389" t="str">
            <v>204</v>
          </cell>
          <cell r="E389" t="str">
            <v>酒田市</v>
          </cell>
          <cell r="F389" t="str">
            <v>02</v>
          </cell>
          <cell r="G389" t="str">
            <v>特環 単独</v>
          </cell>
          <cell r="H389" t="str">
            <v>特定環境保全公共下水道</v>
          </cell>
          <cell r="I389" t="str">
            <v>単独</v>
          </cell>
          <cell r="J389" t="str">
            <v>003</v>
          </cell>
          <cell r="K389" t="str">
            <v>松山浄化センター</v>
          </cell>
          <cell r="M389" t="str">
            <v>1</v>
          </cell>
          <cell r="N389" t="str">
            <v>1</v>
          </cell>
          <cell r="Q389">
            <v>36708</v>
          </cell>
          <cell r="R389" t="str">
            <v>平成</v>
          </cell>
          <cell r="S389">
            <v>12</v>
          </cell>
          <cell r="T389">
            <v>7</v>
          </cell>
          <cell r="AB389">
            <v>10215</v>
          </cell>
          <cell r="AK389" t="str">
            <v>最上川</v>
          </cell>
          <cell r="AL389" t="str">
            <v>小牧浄水場</v>
          </cell>
          <cell r="AN389">
            <v>8</v>
          </cell>
          <cell r="AO389" t="str">
            <v>酒田市</v>
          </cell>
          <cell r="AQ389" t="str">
            <v/>
          </cell>
          <cell r="AR389" t="str">
            <v>オキシディションディッチ法</v>
          </cell>
          <cell r="AS389" t="str">
            <v>0620402003</v>
          </cell>
          <cell r="AT389" t="str">
            <v/>
          </cell>
          <cell r="AU389" t="str">
            <v>10</v>
          </cell>
          <cell r="AV389" t="str">
            <v>10</v>
          </cell>
          <cell r="AW389">
            <v>0</v>
          </cell>
          <cell r="AX389">
            <v>0</v>
          </cell>
          <cell r="AY389">
            <v>0</v>
          </cell>
          <cell r="AZ389">
            <v>0</v>
          </cell>
          <cell r="BA389">
            <v>0</v>
          </cell>
          <cell r="BD389" t="str">
            <v/>
          </cell>
          <cell r="BE389">
            <v>1</v>
          </cell>
          <cell r="BG389" t="str">
            <v>1100</v>
          </cell>
        </row>
        <row r="390">
          <cell r="B390" t="str">
            <v>G062050106100100</v>
          </cell>
          <cell r="C390" t="str">
            <v>06.山形県</v>
          </cell>
          <cell r="D390" t="str">
            <v>205</v>
          </cell>
          <cell r="E390" t="str">
            <v>新庄市</v>
          </cell>
          <cell r="F390" t="str">
            <v>01</v>
          </cell>
          <cell r="G390" t="str">
            <v>公共 単独</v>
          </cell>
          <cell r="H390" t="str">
            <v>公共下水道</v>
          </cell>
          <cell r="I390" t="str">
            <v>単独</v>
          </cell>
          <cell r="J390" t="str">
            <v>001</v>
          </cell>
          <cell r="K390" t="str">
            <v>新庄市浄化センター</v>
          </cell>
          <cell r="M390" t="str">
            <v>1</v>
          </cell>
          <cell r="N390" t="str">
            <v>1</v>
          </cell>
          <cell r="P390" t="str">
            <v>1</v>
          </cell>
          <cell r="Q390">
            <v>32782</v>
          </cell>
          <cell r="R390" t="str">
            <v>平成</v>
          </cell>
          <cell r="S390">
            <v>1</v>
          </cell>
          <cell r="T390">
            <v>10</v>
          </cell>
          <cell r="AB390">
            <v>44600</v>
          </cell>
          <cell r="AC390" t="str">
            <v>升形川</v>
          </cell>
          <cell r="AD390" t="str">
            <v>Ｂ</v>
          </cell>
          <cell r="AE390" t="str">
            <v>イ</v>
          </cell>
          <cell r="AF390">
            <v>15</v>
          </cell>
          <cell r="AK390" t="str">
            <v>升形川</v>
          </cell>
          <cell r="AQ390" t="str">
            <v/>
          </cell>
          <cell r="AR390" t="str">
            <v>標準活性汚泥法</v>
          </cell>
          <cell r="AS390" t="str">
            <v>0620501001</v>
          </cell>
          <cell r="AT390" t="str">
            <v/>
          </cell>
          <cell r="AU390" t="str">
            <v>10</v>
          </cell>
          <cell r="AV390" t="str">
            <v>10</v>
          </cell>
          <cell r="AW390">
            <v>1</v>
          </cell>
          <cell r="AX390">
            <v>0</v>
          </cell>
          <cell r="AY390">
            <v>0</v>
          </cell>
          <cell r="AZ390">
            <v>0</v>
          </cell>
          <cell r="BA390">
            <v>0</v>
          </cell>
          <cell r="BD390" t="str">
            <v/>
          </cell>
          <cell r="BE390">
            <v>1</v>
          </cell>
          <cell r="BG390" t="str">
            <v>1101</v>
          </cell>
        </row>
        <row r="391">
          <cell r="B391" t="str">
            <v>G062060106100100</v>
          </cell>
          <cell r="C391" t="str">
            <v>06.山形県</v>
          </cell>
          <cell r="D391" t="str">
            <v>206</v>
          </cell>
          <cell r="E391" t="str">
            <v>寒河江市</v>
          </cell>
          <cell r="F391" t="str">
            <v>01</v>
          </cell>
          <cell r="G391" t="str">
            <v>公共 単独</v>
          </cell>
          <cell r="H391" t="str">
            <v>公共下水道</v>
          </cell>
          <cell r="I391" t="str">
            <v>単独</v>
          </cell>
          <cell r="J391" t="str">
            <v>001</v>
          </cell>
          <cell r="K391" t="str">
            <v>寒河江市浄化センター</v>
          </cell>
          <cell r="M391" t="str">
            <v>1</v>
          </cell>
          <cell r="N391" t="str">
            <v>1</v>
          </cell>
          <cell r="P391" t="str">
            <v>1</v>
          </cell>
          <cell r="Q391">
            <v>30590</v>
          </cell>
          <cell r="R391" t="str">
            <v>昭和</v>
          </cell>
          <cell r="S391">
            <v>58</v>
          </cell>
          <cell r="T391">
            <v>10</v>
          </cell>
          <cell r="U391" t="str">
            <v>名称変更</v>
          </cell>
          <cell r="V391">
            <v>32964</v>
          </cell>
          <cell r="W391" t="str">
            <v>平成</v>
          </cell>
          <cell r="X391">
            <v>2</v>
          </cell>
          <cell r="Y391">
            <v>4</v>
          </cell>
          <cell r="Z391" t="str">
            <v>寒河江市下水道終末処理場</v>
          </cell>
          <cell r="AB391">
            <v>59232</v>
          </cell>
          <cell r="AC391" t="str">
            <v>最上川</v>
          </cell>
          <cell r="AD391" t="str">
            <v>Ａ</v>
          </cell>
          <cell r="AE391" t="str">
            <v>ロ</v>
          </cell>
          <cell r="AF391">
            <v>15</v>
          </cell>
          <cell r="AK391" t="str">
            <v>最上川</v>
          </cell>
          <cell r="AN391">
            <v>120</v>
          </cell>
          <cell r="AO391" t="str">
            <v>酒田市</v>
          </cell>
          <cell r="AQ391" t="str">
            <v/>
          </cell>
          <cell r="AR391" t="str">
            <v>標準活性汚泥法</v>
          </cell>
          <cell r="AS391" t="str">
            <v>0620601001</v>
          </cell>
          <cell r="AT391" t="str">
            <v/>
          </cell>
          <cell r="AU391" t="str">
            <v>10</v>
          </cell>
          <cell r="AV391" t="str">
            <v>10</v>
          </cell>
          <cell r="AW391">
            <v>1</v>
          </cell>
          <cell r="AX391">
            <v>0</v>
          </cell>
          <cell r="AY391">
            <v>0</v>
          </cell>
          <cell r="AZ391">
            <v>0</v>
          </cell>
          <cell r="BA391">
            <v>0</v>
          </cell>
          <cell r="BD391" t="str">
            <v/>
          </cell>
          <cell r="BE391">
            <v>1</v>
          </cell>
          <cell r="BG391" t="str">
            <v>1101</v>
          </cell>
        </row>
        <row r="392">
          <cell r="B392" t="str">
            <v>G062070106100100</v>
          </cell>
          <cell r="C392" t="str">
            <v>06.山形県</v>
          </cell>
          <cell r="D392" t="str">
            <v>207</v>
          </cell>
          <cell r="E392" t="str">
            <v>上山市</v>
          </cell>
          <cell r="F392" t="str">
            <v>01</v>
          </cell>
          <cell r="G392" t="str">
            <v>公共 単独</v>
          </cell>
          <cell r="H392" t="str">
            <v>公共下水道</v>
          </cell>
          <cell r="I392" t="str">
            <v>単独</v>
          </cell>
          <cell r="J392" t="str">
            <v>001</v>
          </cell>
          <cell r="K392" t="str">
            <v>上山市浄水センター</v>
          </cell>
          <cell r="M392" t="str">
            <v>1</v>
          </cell>
          <cell r="N392" t="str">
            <v>1</v>
          </cell>
          <cell r="Q392">
            <v>29891</v>
          </cell>
          <cell r="R392" t="str">
            <v>昭和</v>
          </cell>
          <cell r="S392">
            <v>56</v>
          </cell>
          <cell r="T392">
            <v>11</v>
          </cell>
          <cell r="AB392">
            <v>61100</v>
          </cell>
          <cell r="AC392" t="str">
            <v>須川</v>
          </cell>
          <cell r="AD392" t="str">
            <v>Ｂ</v>
          </cell>
          <cell r="AE392" t="str">
            <v>ロ</v>
          </cell>
          <cell r="AF392">
            <v>15</v>
          </cell>
          <cell r="AK392" t="str">
            <v>須川</v>
          </cell>
          <cell r="AN392">
            <v>120</v>
          </cell>
          <cell r="AO392" t="str">
            <v>酒田市</v>
          </cell>
          <cell r="AQ392" t="str">
            <v/>
          </cell>
          <cell r="AR392" t="str">
            <v>標準活性汚泥法</v>
          </cell>
          <cell r="AS392" t="str">
            <v>0620701001</v>
          </cell>
          <cell r="AT392" t="str">
            <v/>
          </cell>
          <cell r="AU392" t="str">
            <v>10</v>
          </cell>
          <cell r="AV392" t="str">
            <v>10</v>
          </cell>
          <cell r="AW392">
            <v>0</v>
          </cell>
          <cell r="AX392">
            <v>0</v>
          </cell>
          <cell r="AY392">
            <v>0</v>
          </cell>
          <cell r="AZ392">
            <v>0</v>
          </cell>
          <cell r="BA392">
            <v>0</v>
          </cell>
          <cell r="BD392" t="str">
            <v/>
          </cell>
          <cell r="BE392">
            <v>1</v>
          </cell>
          <cell r="BG392" t="str">
            <v>1100</v>
          </cell>
        </row>
        <row r="393">
          <cell r="B393" t="str">
            <v>G062090106100100</v>
          </cell>
          <cell r="C393" t="str">
            <v>06.山形県</v>
          </cell>
          <cell r="D393" t="str">
            <v>209</v>
          </cell>
          <cell r="E393" t="str">
            <v>長井市</v>
          </cell>
          <cell r="F393" t="str">
            <v>01</v>
          </cell>
          <cell r="G393" t="str">
            <v>公共 単独</v>
          </cell>
          <cell r="H393" t="str">
            <v>公共下水道</v>
          </cell>
          <cell r="I393" t="str">
            <v>単独</v>
          </cell>
          <cell r="J393" t="str">
            <v>001</v>
          </cell>
          <cell r="K393" t="str">
            <v>長井市公共下水道管理センター</v>
          </cell>
          <cell r="M393" t="str">
            <v>1</v>
          </cell>
          <cell r="N393" t="str">
            <v>1</v>
          </cell>
          <cell r="Q393">
            <v>32234</v>
          </cell>
          <cell r="R393" t="str">
            <v>昭和</v>
          </cell>
          <cell r="S393">
            <v>63</v>
          </cell>
          <cell r="T393">
            <v>4</v>
          </cell>
          <cell r="AB393">
            <v>56160</v>
          </cell>
          <cell r="AC393" t="str">
            <v>最上川</v>
          </cell>
          <cell r="AD393" t="str">
            <v>Ａ</v>
          </cell>
          <cell r="AE393" t="str">
            <v>ロ</v>
          </cell>
          <cell r="AF393">
            <v>15</v>
          </cell>
          <cell r="AI393" t="str">
            <v>草岡川</v>
          </cell>
          <cell r="AK393" t="str">
            <v>最上川</v>
          </cell>
          <cell r="AL393" t="str">
            <v>山形市上水道取水口</v>
          </cell>
          <cell r="AN393">
            <v>44</v>
          </cell>
          <cell r="AO393" t="str">
            <v>山形市</v>
          </cell>
          <cell r="AQ393" t="str">
            <v/>
          </cell>
          <cell r="AR393" t="str">
            <v>標準活性汚泥法</v>
          </cell>
          <cell r="AS393" t="str">
            <v>0620901001</v>
          </cell>
          <cell r="AT393" t="str">
            <v/>
          </cell>
          <cell r="AU393" t="str">
            <v>10</v>
          </cell>
          <cell r="AV393" t="str">
            <v>10</v>
          </cell>
          <cell r="AW393">
            <v>0</v>
          </cell>
          <cell r="AX393">
            <v>0</v>
          </cell>
          <cell r="AY393">
            <v>0</v>
          </cell>
          <cell r="AZ393">
            <v>0</v>
          </cell>
          <cell r="BA393">
            <v>0</v>
          </cell>
          <cell r="BD393" t="str">
            <v/>
          </cell>
          <cell r="BE393">
            <v>1</v>
          </cell>
          <cell r="BG393" t="str">
            <v>1100</v>
          </cell>
        </row>
        <row r="394">
          <cell r="B394" t="str">
            <v>G063220106100100</v>
          </cell>
          <cell r="C394" t="str">
            <v>06.山形県</v>
          </cell>
          <cell r="D394" t="str">
            <v>322</v>
          </cell>
          <cell r="E394" t="str">
            <v>西川町</v>
          </cell>
          <cell r="F394" t="str">
            <v>01</v>
          </cell>
          <cell r="G394" t="str">
            <v>公共 単独</v>
          </cell>
          <cell r="H394" t="str">
            <v>公共下水道</v>
          </cell>
          <cell r="I394" t="str">
            <v>単独</v>
          </cell>
          <cell r="J394" t="str">
            <v>001</v>
          </cell>
          <cell r="K394" t="str">
            <v>西川浄化センター</v>
          </cell>
          <cell r="M394" t="str">
            <v>1</v>
          </cell>
          <cell r="N394" t="str">
            <v>1</v>
          </cell>
          <cell r="Q394">
            <v>36980</v>
          </cell>
          <cell r="R394" t="str">
            <v>平成</v>
          </cell>
          <cell r="S394">
            <v>13</v>
          </cell>
          <cell r="T394">
            <v>3</v>
          </cell>
          <cell r="AB394">
            <v>14200</v>
          </cell>
          <cell r="AC394" t="str">
            <v>寒河江川上流</v>
          </cell>
          <cell r="AD394" t="str">
            <v>Ａ</v>
          </cell>
          <cell r="AE394" t="str">
            <v>ロ</v>
          </cell>
          <cell r="AF394">
            <v>15</v>
          </cell>
          <cell r="AK394" t="str">
            <v>寒河江川</v>
          </cell>
          <cell r="AQ394" t="str">
            <v/>
          </cell>
          <cell r="AR394" t="str">
            <v>オキシディションディッチ法</v>
          </cell>
          <cell r="AS394" t="str">
            <v>0632201001</v>
          </cell>
          <cell r="AT394" t="str">
            <v/>
          </cell>
          <cell r="AU394" t="str">
            <v>10</v>
          </cell>
          <cell r="AV394" t="str">
            <v>10</v>
          </cell>
          <cell r="AW394">
            <v>0</v>
          </cell>
          <cell r="AX394">
            <v>0</v>
          </cell>
          <cell r="AY394">
            <v>0</v>
          </cell>
          <cell r="AZ394">
            <v>0</v>
          </cell>
          <cell r="BA394">
            <v>0</v>
          </cell>
          <cell r="BD394" t="str">
            <v/>
          </cell>
          <cell r="BE394">
            <v>1</v>
          </cell>
          <cell r="BG394" t="str">
            <v>1100</v>
          </cell>
        </row>
        <row r="395">
          <cell r="B395" t="str">
            <v>G063240106100100</v>
          </cell>
          <cell r="C395" t="str">
            <v>06.山形県</v>
          </cell>
          <cell r="D395" t="str">
            <v>324</v>
          </cell>
          <cell r="E395" t="str">
            <v>大江町</v>
          </cell>
          <cell r="F395" t="str">
            <v>01</v>
          </cell>
          <cell r="G395" t="str">
            <v>公共 単独</v>
          </cell>
          <cell r="H395" t="str">
            <v>公共下水道</v>
          </cell>
          <cell r="I395" t="str">
            <v>単独</v>
          </cell>
          <cell r="J395" t="str">
            <v>001</v>
          </cell>
          <cell r="K395" t="str">
            <v>大江町浄化センター</v>
          </cell>
          <cell r="M395" t="str">
            <v>1</v>
          </cell>
          <cell r="Q395">
            <v>36966</v>
          </cell>
          <cell r="R395" t="str">
            <v>平成</v>
          </cell>
          <cell r="S395">
            <v>13</v>
          </cell>
          <cell r="T395">
            <v>3</v>
          </cell>
          <cell r="AB395">
            <v>8600</v>
          </cell>
          <cell r="AC395" t="str">
            <v>最上川</v>
          </cell>
          <cell r="AD395" t="str">
            <v>Ａ</v>
          </cell>
          <cell r="AE395" t="str">
            <v>ロ</v>
          </cell>
          <cell r="AF395">
            <v>15</v>
          </cell>
          <cell r="AK395" t="str">
            <v>月布川</v>
          </cell>
          <cell r="AL395" t="str">
            <v>最上川中部水道企業団取水口</v>
          </cell>
          <cell r="AN395">
            <v>10</v>
          </cell>
          <cell r="AO395" t="str">
            <v>山形市、山辺町、中山町</v>
          </cell>
          <cell r="AQ395" t="str">
            <v/>
          </cell>
          <cell r="AR395" t="str">
            <v>嫌気好気ろ床法</v>
          </cell>
          <cell r="AS395" t="str">
            <v>0632401001</v>
          </cell>
          <cell r="AT395">
            <v>1</v>
          </cell>
          <cell r="AU395" t="str">
            <v>00</v>
          </cell>
          <cell r="AV395" t="str">
            <v>00</v>
          </cell>
          <cell r="AW395">
            <v>0</v>
          </cell>
          <cell r="AX395">
            <v>0</v>
          </cell>
          <cell r="AY395">
            <v>0</v>
          </cell>
          <cell r="AZ395">
            <v>0</v>
          </cell>
          <cell r="BA395">
            <v>0</v>
          </cell>
          <cell r="BD395" t="str">
            <v/>
          </cell>
          <cell r="BE395">
            <v>1</v>
          </cell>
          <cell r="BG395" t="str">
            <v>1000</v>
          </cell>
        </row>
        <row r="396">
          <cell r="B396" t="str">
            <v>G063610106100100</v>
          </cell>
          <cell r="C396" t="str">
            <v>06.山形県</v>
          </cell>
          <cell r="D396" t="str">
            <v>361</v>
          </cell>
          <cell r="E396" t="str">
            <v>金山町</v>
          </cell>
          <cell r="F396" t="str">
            <v>01</v>
          </cell>
          <cell r="G396" t="str">
            <v>公共 単独</v>
          </cell>
          <cell r="H396" t="str">
            <v>公共下水道</v>
          </cell>
          <cell r="I396" t="str">
            <v>単独</v>
          </cell>
          <cell r="J396" t="str">
            <v>001</v>
          </cell>
          <cell r="K396" t="str">
            <v>金山浄化センター</v>
          </cell>
          <cell r="M396" t="str">
            <v>1</v>
          </cell>
          <cell r="N396" t="str">
            <v>1</v>
          </cell>
          <cell r="Q396">
            <v>37316</v>
          </cell>
          <cell r="R396" t="str">
            <v>平成</v>
          </cell>
          <cell r="S396">
            <v>14</v>
          </cell>
          <cell r="T396">
            <v>3</v>
          </cell>
          <cell r="AB396">
            <v>13961</v>
          </cell>
          <cell r="AC396" t="str">
            <v>最上川中・下流</v>
          </cell>
          <cell r="AD396" t="str">
            <v>Ａ</v>
          </cell>
          <cell r="AE396" t="str">
            <v>ロ</v>
          </cell>
          <cell r="AF396">
            <v>15</v>
          </cell>
          <cell r="AG396">
            <v>20</v>
          </cell>
          <cell r="AH396">
            <v>3</v>
          </cell>
          <cell r="AK396" t="str">
            <v>上台川</v>
          </cell>
          <cell r="AL396" t="str">
            <v>魚清水取水場</v>
          </cell>
          <cell r="AM396">
            <v>5</v>
          </cell>
          <cell r="AO396" t="str">
            <v>山形県企業局最上地区水道事務所</v>
          </cell>
          <cell r="AQ396" t="str">
            <v/>
          </cell>
          <cell r="AR396" t="str">
            <v>オキシディションディッチ法</v>
          </cell>
          <cell r="AS396" t="str">
            <v>0636101001</v>
          </cell>
          <cell r="AT396" t="str">
            <v/>
          </cell>
          <cell r="AU396" t="str">
            <v>10</v>
          </cell>
          <cell r="AV396" t="str">
            <v>10</v>
          </cell>
          <cell r="AW396">
            <v>0</v>
          </cell>
          <cell r="AX396">
            <v>0</v>
          </cell>
          <cell r="AY396">
            <v>0</v>
          </cell>
          <cell r="AZ396">
            <v>0</v>
          </cell>
          <cell r="BA396">
            <v>0</v>
          </cell>
          <cell r="BD396" t="str">
            <v/>
          </cell>
          <cell r="BE396">
            <v>1</v>
          </cell>
          <cell r="BG396" t="str">
            <v>1100</v>
          </cell>
        </row>
        <row r="397">
          <cell r="B397" t="str">
            <v>G063620106100100</v>
          </cell>
          <cell r="C397" t="str">
            <v>06.山形県</v>
          </cell>
          <cell r="D397" t="str">
            <v>362</v>
          </cell>
          <cell r="E397" t="str">
            <v>最上町</v>
          </cell>
          <cell r="F397" t="str">
            <v>01</v>
          </cell>
          <cell r="G397" t="str">
            <v>公共 単独</v>
          </cell>
          <cell r="H397" t="str">
            <v>公共下水道</v>
          </cell>
          <cell r="I397" t="str">
            <v>単独</v>
          </cell>
          <cell r="J397" t="str">
            <v>001</v>
          </cell>
          <cell r="K397" t="str">
            <v>向町浄化センター</v>
          </cell>
          <cell r="M397" t="str">
            <v>1</v>
          </cell>
          <cell r="N397" t="str">
            <v>1</v>
          </cell>
          <cell r="Q397">
            <v>36951</v>
          </cell>
          <cell r="R397" t="str">
            <v>平成</v>
          </cell>
          <cell r="S397">
            <v>13</v>
          </cell>
          <cell r="T397">
            <v>3</v>
          </cell>
          <cell r="AB397">
            <v>12100</v>
          </cell>
          <cell r="AC397" t="str">
            <v>最上小国川</v>
          </cell>
          <cell r="AD397" t="str">
            <v>Ａ</v>
          </cell>
          <cell r="AE397" t="str">
            <v>イ</v>
          </cell>
          <cell r="AF397">
            <v>15</v>
          </cell>
          <cell r="AI397" t="str">
            <v>最上小国川</v>
          </cell>
          <cell r="AQ397" t="str">
            <v/>
          </cell>
          <cell r="AR397" t="str">
            <v>オキシディションディッチ法</v>
          </cell>
          <cell r="AS397" t="str">
            <v>0636201001</v>
          </cell>
          <cell r="AT397" t="str">
            <v/>
          </cell>
          <cell r="AU397" t="str">
            <v>10</v>
          </cell>
          <cell r="AV397" t="str">
            <v>10</v>
          </cell>
          <cell r="AW397">
            <v>0</v>
          </cell>
          <cell r="AX397">
            <v>0</v>
          </cell>
          <cell r="AY397">
            <v>0</v>
          </cell>
          <cell r="AZ397">
            <v>0</v>
          </cell>
          <cell r="BA397">
            <v>0</v>
          </cell>
          <cell r="BD397" t="str">
            <v/>
          </cell>
          <cell r="BE397">
            <v>1</v>
          </cell>
          <cell r="BG397" t="str">
            <v>1100</v>
          </cell>
        </row>
        <row r="398">
          <cell r="B398" t="str">
            <v>G063630206100100</v>
          </cell>
          <cell r="C398" t="str">
            <v>06.山形県</v>
          </cell>
          <cell r="D398" t="str">
            <v>363</v>
          </cell>
          <cell r="E398" t="str">
            <v>舟形町</v>
          </cell>
          <cell r="F398" t="str">
            <v>02</v>
          </cell>
          <cell r="G398" t="str">
            <v>特環 単独</v>
          </cell>
          <cell r="H398" t="str">
            <v>特定環境保全公共下水道</v>
          </cell>
          <cell r="I398" t="str">
            <v>単独</v>
          </cell>
          <cell r="J398" t="str">
            <v>001</v>
          </cell>
          <cell r="K398" t="str">
            <v>舟形浄化センター</v>
          </cell>
          <cell r="M398" t="str">
            <v>1</v>
          </cell>
          <cell r="N398" t="str">
            <v>1</v>
          </cell>
          <cell r="Q398">
            <v>37681</v>
          </cell>
          <cell r="R398" t="str">
            <v>平成</v>
          </cell>
          <cell r="S398">
            <v>15</v>
          </cell>
          <cell r="T398">
            <v>3</v>
          </cell>
          <cell r="AB398">
            <v>9846</v>
          </cell>
          <cell r="AC398" t="str">
            <v>最上小国川</v>
          </cell>
          <cell r="AD398" t="str">
            <v>Ａ</v>
          </cell>
          <cell r="AE398" t="str">
            <v>イ</v>
          </cell>
          <cell r="AF398">
            <v>20</v>
          </cell>
          <cell r="AK398" t="str">
            <v>最上小国川</v>
          </cell>
          <cell r="AP398" t="str">
            <v>ＢＯＤ認可値</v>
          </cell>
          <cell r="AQ398" t="str">
            <v/>
          </cell>
          <cell r="AR398" t="str">
            <v>オキシディションディッチ法</v>
          </cell>
          <cell r="AS398" t="str">
            <v>0636302001</v>
          </cell>
          <cell r="AT398" t="str">
            <v/>
          </cell>
          <cell r="AU398" t="str">
            <v>10</v>
          </cell>
          <cell r="AV398" t="str">
            <v>10</v>
          </cell>
          <cell r="AW398">
            <v>0</v>
          </cell>
          <cell r="AX398">
            <v>0</v>
          </cell>
          <cell r="AY398">
            <v>0</v>
          </cell>
          <cell r="AZ398">
            <v>0</v>
          </cell>
          <cell r="BA398">
            <v>0</v>
          </cell>
          <cell r="BD398" t="str">
            <v/>
          </cell>
          <cell r="BE398">
            <v>1</v>
          </cell>
          <cell r="BG398" t="str">
            <v>1100</v>
          </cell>
        </row>
        <row r="399">
          <cell r="B399" t="str">
            <v>G063640106100100</v>
          </cell>
          <cell r="C399" t="str">
            <v>06.山形県</v>
          </cell>
          <cell r="D399" t="str">
            <v>364</v>
          </cell>
          <cell r="E399" t="str">
            <v>真室川町</v>
          </cell>
          <cell r="F399" t="str">
            <v>01</v>
          </cell>
          <cell r="G399" t="str">
            <v>公共 単独</v>
          </cell>
          <cell r="H399" t="str">
            <v>公共下水道</v>
          </cell>
          <cell r="I399" t="str">
            <v>単独</v>
          </cell>
          <cell r="J399" t="str">
            <v>001</v>
          </cell>
          <cell r="K399" t="str">
            <v>真室川浄化センター</v>
          </cell>
          <cell r="M399" t="str">
            <v>1</v>
          </cell>
          <cell r="N399" t="str">
            <v>1</v>
          </cell>
          <cell r="Q399">
            <v>37530</v>
          </cell>
          <cell r="R399" t="str">
            <v>平成</v>
          </cell>
          <cell r="S399">
            <v>14</v>
          </cell>
          <cell r="T399">
            <v>10</v>
          </cell>
          <cell r="AB399">
            <v>14665</v>
          </cell>
          <cell r="AC399" t="str">
            <v>真室川</v>
          </cell>
          <cell r="AD399" t="str">
            <v>ＡＡ</v>
          </cell>
          <cell r="AE399" t="str">
            <v>イ</v>
          </cell>
          <cell r="AF399">
            <v>15</v>
          </cell>
          <cell r="AK399" t="str">
            <v>真室川</v>
          </cell>
          <cell r="AL399" t="str">
            <v>真室川上水道第1水源</v>
          </cell>
          <cell r="AM399">
            <v>1.3</v>
          </cell>
          <cell r="AO399" t="str">
            <v>真室川町</v>
          </cell>
          <cell r="AQ399" t="str">
            <v/>
          </cell>
          <cell r="AR399" t="str">
            <v>オキシディションディッチ法</v>
          </cell>
          <cell r="AS399" t="str">
            <v>0636401001</v>
          </cell>
          <cell r="AT399" t="str">
            <v/>
          </cell>
          <cell r="AU399" t="str">
            <v>10</v>
          </cell>
          <cell r="AV399" t="str">
            <v>10</v>
          </cell>
          <cell r="AW399">
            <v>0</v>
          </cell>
          <cell r="AX399">
            <v>0</v>
          </cell>
          <cell r="AY399">
            <v>0</v>
          </cell>
          <cell r="AZ399">
            <v>0</v>
          </cell>
          <cell r="BA399">
            <v>0</v>
          </cell>
          <cell r="BD399" t="str">
            <v/>
          </cell>
          <cell r="BE399">
            <v>1</v>
          </cell>
          <cell r="BG399" t="str">
            <v>1100</v>
          </cell>
        </row>
        <row r="400">
          <cell r="B400" t="str">
            <v>G063650206100100</v>
          </cell>
          <cell r="C400" t="str">
            <v>06.山形県</v>
          </cell>
          <cell r="D400" t="str">
            <v>365</v>
          </cell>
          <cell r="E400" t="str">
            <v>大蔵村</v>
          </cell>
          <cell r="F400" t="str">
            <v>02</v>
          </cell>
          <cell r="G400" t="str">
            <v>特環 単独</v>
          </cell>
          <cell r="H400" t="str">
            <v>特定環境保全公共下水道</v>
          </cell>
          <cell r="I400" t="str">
            <v>単独</v>
          </cell>
          <cell r="J400" t="str">
            <v>001</v>
          </cell>
          <cell r="K400" t="str">
            <v>肘折下水処理場</v>
          </cell>
          <cell r="M400" t="str">
            <v>1</v>
          </cell>
          <cell r="N400" t="str">
            <v>1</v>
          </cell>
          <cell r="Q400">
            <v>30773</v>
          </cell>
          <cell r="R400" t="str">
            <v>昭和</v>
          </cell>
          <cell r="S400">
            <v>59</v>
          </cell>
          <cell r="T400">
            <v>4</v>
          </cell>
          <cell r="AB400">
            <v>5200</v>
          </cell>
          <cell r="AC400" t="str">
            <v>銅山川</v>
          </cell>
          <cell r="AD400" t="str">
            <v>Ａ</v>
          </cell>
          <cell r="AE400" t="str">
            <v>イ</v>
          </cell>
          <cell r="AF400">
            <v>15</v>
          </cell>
          <cell r="AI400" t="str">
            <v>銅山川</v>
          </cell>
          <cell r="AQ400" t="str">
            <v/>
          </cell>
          <cell r="AR400" t="str">
            <v>長時間エアレーション法</v>
          </cell>
          <cell r="AS400" t="str">
            <v>0636502001</v>
          </cell>
          <cell r="AT400" t="str">
            <v/>
          </cell>
          <cell r="AU400" t="str">
            <v>10</v>
          </cell>
          <cell r="AV400" t="str">
            <v>10</v>
          </cell>
          <cell r="AW400">
            <v>0</v>
          </cell>
          <cell r="AX400">
            <v>0</v>
          </cell>
          <cell r="AY400">
            <v>0</v>
          </cell>
          <cell r="AZ400">
            <v>0</v>
          </cell>
          <cell r="BA400">
            <v>0</v>
          </cell>
          <cell r="BD400" t="str">
            <v/>
          </cell>
          <cell r="BE400">
            <v>1</v>
          </cell>
          <cell r="BG400" t="str">
            <v>1100</v>
          </cell>
        </row>
        <row r="401">
          <cell r="B401" t="str">
            <v>G063650206100200</v>
          </cell>
          <cell r="C401" t="str">
            <v>06.山形県</v>
          </cell>
          <cell r="D401" t="str">
            <v>365</v>
          </cell>
          <cell r="E401" t="str">
            <v>大蔵村</v>
          </cell>
          <cell r="F401" t="str">
            <v>02</v>
          </cell>
          <cell r="G401" t="str">
            <v>特環 単独</v>
          </cell>
          <cell r="H401" t="str">
            <v>特定環境保全公共下水道</v>
          </cell>
          <cell r="I401" t="str">
            <v>単独</v>
          </cell>
          <cell r="J401" t="str">
            <v>002</v>
          </cell>
          <cell r="K401" t="str">
            <v>清水浄化センター</v>
          </cell>
          <cell r="M401" t="str">
            <v>1</v>
          </cell>
          <cell r="N401" t="str">
            <v>1</v>
          </cell>
          <cell r="Q401">
            <v>38047</v>
          </cell>
          <cell r="R401" t="str">
            <v>平成</v>
          </cell>
          <cell r="S401">
            <v>16</v>
          </cell>
          <cell r="T401">
            <v>3</v>
          </cell>
          <cell r="AB401">
            <v>5000</v>
          </cell>
          <cell r="AC401" t="str">
            <v>最上川中・下流</v>
          </cell>
          <cell r="AD401" t="str">
            <v>Ａ</v>
          </cell>
          <cell r="AE401" t="str">
            <v>ロ</v>
          </cell>
          <cell r="AF401">
            <v>15</v>
          </cell>
          <cell r="AI401" t="str">
            <v>農業排水路</v>
          </cell>
          <cell r="AQ401" t="str">
            <v/>
          </cell>
          <cell r="AR401" t="str">
            <v>オキシディションディッチ法</v>
          </cell>
          <cell r="AS401" t="str">
            <v>0636502002</v>
          </cell>
          <cell r="AT401" t="str">
            <v/>
          </cell>
          <cell r="AU401" t="str">
            <v>10</v>
          </cell>
          <cell r="AV401" t="str">
            <v>10</v>
          </cell>
          <cell r="AW401">
            <v>0</v>
          </cell>
          <cell r="AX401">
            <v>0</v>
          </cell>
          <cell r="AY401">
            <v>0</v>
          </cell>
          <cell r="AZ401">
            <v>0</v>
          </cell>
          <cell r="BA401">
            <v>0</v>
          </cell>
          <cell r="BD401" t="str">
            <v/>
          </cell>
          <cell r="BE401">
            <v>1</v>
          </cell>
          <cell r="BG401" t="str">
            <v>1100</v>
          </cell>
        </row>
        <row r="402">
          <cell r="B402" t="str">
            <v>G063670206100100</v>
          </cell>
          <cell r="C402" t="str">
            <v>06.山形県</v>
          </cell>
          <cell r="D402" t="str">
            <v>367</v>
          </cell>
          <cell r="E402" t="str">
            <v>戸沢村</v>
          </cell>
          <cell r="F402" t="str">
            <v>02</v>
          </cell>
          <cell r="G402" t="str">
            <v>特環 単独</v>
          </cell>
          <cell r="H402" t="str">
            <v>特定環境保全公共下水道</v>
          </cell>
          <cell r="I402" t="str">
            <v>単独</v>
          </cell>
          <cell r="J402" t="str">
            <v>001</v>
          </cell>
          <cell r="K402" t="str">
            <v>古口浄化センター</v>
          </cell>
          <cell r="M402" t="str">
            <v>1</v>
          </cell>
          <cell r="N402" t="str">
            <v>1</v>
          </cell>
          <cell r="Q402">
            <v>36951</v>
          </cell>
          <cell r="R402" t="str">
            <v>平成</v>
          </cell>
          <cell r="S402">
            <v>13</v>
          </cell>
          <cell r="T402">
            <v>3</v>
          </cell>
          <cell r="AB402">
            <v>5071</v>
          </cell>
          <cell r="AC402" t="str">
            <v>最上川中下流</v>
          </cell>
          <cell r="AD402" t="str">
            <v>Ａ</v>
          </cell>
          <cell r="AE402" t="str">
            <v>ロ</v>
          </cell>
          <cell r="AF402">
            <v>15</v>
          </cell>
          <cell r="AK402" t="str">
            <v>最上川</v>
          </cell>
          <cell r="AQ402" t="str">
            <v/>
          </cell>
          <cell r="AR402" t="str">
            <v>オキシディションディッチ法</v>
          </cell>
          <cell r="AS402" t="str">
            <v>0636702001</v>
          </cell>
          <cell r="AT402" t="str">
            <v/>
          </cell>
          <cell r="AU402" t="str">
            <v>10</v>
          </cell>
          <cell r="AV402" t="str">
            <v>10</v>
          </cell>
          <cell r="AW402">
            <v>0</v>
          </cell>
          <cell r="AX402">
            <v>0</v>
          </cell>
          <cell r="AY402">
            <v>0</v>
          </cell>
          <cell r="AZ402">
            <v>0</v>
          </cell>
          <cell r="BA402">
            <v>0</v>
          </cell>
          <cell r="BD402" t="str">
            <v/>
          </cell>
          <cell r="BE402">
            <v>1</v>
          </cell>
          <cell r="BG402" t="str">
            <v>1100</v>
          </cell>
        </row>
        <row r="403">
          <cell r="B403" t="str">
            <v>G064010106100100</v>
          </cell>
          <cell r="C403" t="str">
            <v>06.山形県</v>
          </cell>
          <cell r="D403" t="str">
            <v>401</v>
          </cell>
          <cell r="E403" t="str">
            <v>小国町</v>
          </cell>
          <cell r="F403" t="str">
            <v>01</v>
          </cell>
          <cell r="G403" t="str">
            <v>公共 単独</v>
          </cell>
          <cell r="H403" t="str">
            <v>公共下水道</v>
          </cell>
          <cell r="I403" t="str">
            <v>単独</v>
          </cell>
          <cell r="J403" t="str">
            <v>001</v>
          </cell>
          <cell r="K403" t="str">
            <v>小国浄化センター</v>
          </cell>
          <cell r="M403" t="str">
            <v>1</v>
          </cell>
          <cell r="N403" t="str">
            <v>1</v>
          </cell>
          <cell r="Q403">
            <v>36251</v>
          </cell>
          <cell r="R403" t="str">
            <v>平成</v>
          </cell>
          <cell r="S403">
            <v>11</v>
          </cell>
          <cell r="T403">
            <v>4</v>
          </cell>
          <cell r="AB403">
            <v>14800</v>
          </cell>
          <cell r="AC403" t="str">
            <v>荒川</v>
          </cell>
          <cell r="AD403" t="str">
            <v>Ａ</v>
          </cell>
          <cell r="AE403" t="str">
            <v>ハ</v>
          </cell>
          <cell r="AF403">
            <v>15</v>
          </cell>
          <cell r="AK403" t="str">
            <v>荒川</v>
          </cell>
          <cell r="AL403" t="str">
            <v>荒川頭取口左岸取水口</v>
          </cell>
          <cell r="AN403">
            <v>25</v>
          </cell>
          <cell r="AO403" t="str">
            <v>新潟県胎内市</v>
          </cell>
          <cell r="AQ403" t="str">
            <v/>
          </cell>
          <cell r="AR403" t="str">
            <v>オキシディションディッチ法</v>
          </cell>
          <cell r="AS403" t="str">
            <v>0640101001</v>
          </cell>
          <cell r="AT403" t="str">
            <v/>
          </cell>
          <cell r="AU403" t="str">
            <v>10</v>
          </cell>
          <cell r="AV403" t="str">
            <v>10</v>
          </cell>
          <cell r="AW403">
            <v>0</v>
          </cell>
          <cell r="AX403">
            <v>0</v>
          </cell>
          <cell r="AY403">
            <v>0</v>
          </cell>
          <cell r="AZ403">
            <v>0</v>
          </cell>
          <cell r="BA403">
            <v>0</v>
          </cell>
          <cell r="BD403" t="str">
            <v/>
          </cell>
          <cell r="BE403">
            <v>1</v>
          </cell>
          <cell r="BG403" t="str">
            <v>1100</v>
          </cell>
        </row>
        <row r="404">
          <cell r="B404" t="str">
            <v>G064020106100100</v>
          </cell>
          <cell r="C404" t="str">
            <v>06.山形県</v>
          </cell>
          <cell r="D404" t="str">
            <v>402</v>
          </cell>
          <cell r="E404" t="str">
            <v>白鷹町</v>
          </cell>
          <cell r="F404" t="str">
            <v>01</v>
          </cell>
          <cell r="G404" t="str">
            <v>公共 単独</v>
          </cell>
          <cell r="H404" t="str">
            <v>公共下水道</v>
          </cell>
          <cell r="I404" t="str">
            <v>単独</v>
          </cell>
          <cell r="J404" t="str">
            <v>001</v>
          </cell>
          <cell r="K404" t="str">
            <v>白鷹浄化管理センター</v>
          </cell>
          <cell r="M404" t="str">
            <v>1</v>
          </cell>
          <cell r="N404" t="str">
            <v>1</v>
          </cell>
          <cell r="Q404">
            <v>31854</v>
          </cell>
          <cell r="R404" t="str">
            <v>昭和</v>
          </cell>
          <cell r="S404">
            <v>62</v>
          </cell>
          <cell r="T404">
            <v>3</v>
          </cell>
          <cell r="AB404">
            <v>22250</v>
          </cell>
          <cell r="AC404" t="str">
            <v>最上川中・下流</v>
          </cell>
          <cell r="AD404" t="str">
            <v>Ａ</v>
          </cell>
          <cell r="AE404" t="str">
            <v>ロ</v>
          </cell>
          <cell r="AF404">
            <v>15</v>
          </cell>
          <cell r="AK404" t="str">
            <v>最上川</v>
          </cell>
          <cell r="AL404" t="str">
            <v>最上川浄水場</v>
          </cell>
          <cell r="AM404">
            <v>42.4</v>
          </cell>
          <cell r="AO404" t="str">
            <v>最上川中部水道企業断</v>
          </cell>
          <cell r="AQ404" t="str">
            <v/>
          </cell>
          <cell r="AR404" t="str">
            <v>オキシディションディッチ法</v>
          </cell>
          <cell r="AS404" t="str">
            <v>0640201001</v>
          </cell>
          <cell r="AT404" t="str">
            <v/>
          </cell>
          <cell r="AU404" t="str">
            <v>10</v>
          </cell>
          <cell r="AV404" t="str">
            <v>10</v>
          </cell>
          <cell r="AW404">
            <v>0</v>
          </cell>
          <cell r="AX404">
            <v>0</v>
          </cell>
          <cell r="AY404">
            <v>0</v>
          </cell>
          <cell r="AZ404">
            <v>0</v>
          </cell>
          <cell r="BA404">
            <v>0</v>
          </cell>
          <cell r="BD404" t="str">
            <v/>
          </cell>
          <cell r="BE404">
            <v>1</v>
          </cell>
          <cell r="BG404" t="str">
            <v>1100</v>
          </cell>
        </row>
        <row r="405">
          <cell r="B405" t="str">
            <v>G064610106100100</v>
          </cell>
          <cell r="C405" t="str">
            <v>06.山形県</v>
          </cell>
          <cell r="D405" t="str">
            <v>461</v>
          </cell>
          <cell r="E405" t="str">
            <v>遊佐町</v>
          </cell>
          <cell r="F405" t="str">
            <v>01</v>
          </cell>
          <cell r="G405" t="str">
            <v>公共 単独</v>
          </cell>
          <cell r="H405" t="str">
            <v>公共下水道</v>
          </cell>
          <cell r="I405" t="str">
            <v>単独</v>
          </cell>
          <cell r="J405" t="str">
            <v>001</v>
          </cell>
          <cell r="K405" t="str">
            <v>遊佐浄化センター</v>
          </cell>
          <cell r="M405" t="str">
            <v>1</v>
          </cell>
          <cell r="N405" t="str">
            <v>1</v>
          </cell>
          <cell r="Q405">
            <v>34973</v>
          </cell>
          <cell r="R405" t="str">
            <v>平成</v>
          </cell>
          <cell r="S405">
            <v>7</v>
          </cell>
          <cell r="T405">
            <v>10</v>
          </cell>
          <cell r="AB405">
            <v>11400</v>
          </cell>
          <cell r="AC405" t="str">
            <v>月光川</v>
          </cell>
          <cell r="AD405" t="str">
            <v>Ａ</v>
          </cell>
          <cell r="AE405" t="str">
            <v>ロ</v>
          </cell>
          <cell r="AF405">
            <v>15</v>
          </cell>
          <cell r="AJ405" t="str">
            <v>月光川</v>
          </cell>
          <cell r="AQ405" t="str">
            <v/>
          </cell>
          <cell r="AR405" t="str">
            <v>回分式活性汚泥法</v>
          </cell>
          <cell r="AS405" t="str">
            <v>0646101001</v>
          </cell>
          <cell r="AT405" t="str">
            <v/>
          </cell>
          <cell r="AU405" t="str">
            <v>10</v>
          </cell>
          <cell r="AV405" t="str">
            <v>10</v>
          </cell>
          <cell r="AW405">
            <v>0</v>
          </cell>
          <cell r="AX405">
            <v>0</v>
          </cell>
          <cell r="AY405">
            <v>0</v>
          </cell>
          <cell r="AZ405">
            <v>0</v>
          </cell>
          <cell r="BA405">
            <v>0</v>
          </cell>
          <cell r="BD405" t="str">
            <v/>
          </cell>
          <cell r="BE405">
            <v>1</v>
          </cell>
          <cell r="BG405" t="str">
            <v>1100</v>
          </cell>
        </row>
        <row r="406">
          <cell r="B406" t="str">
            <v>G068010206100100</v>
          </cell>
          <cell r="C406" t="str">
            <v>06.山形県</v>
          </cell>
          <cell r="D406" t="str">
            <v>801</v>
          </cell>
          <cell r="E406" t="str">
            <v>尾花沢市大石田町環境衛生事業組合</v>
          </cell>
          <cell r="F406" t="str">
            <v>02</v>
          </cell>
          <cell r="G406" t="str">
            <v>特環 単独</v>
          </cell>
          <cell r="H406" t="str">
            <v>特定環境保全公共下水道</v>
          </cell>
          <cell r="I406" t="str">
            <v>単独</v>
          </cell>
          <cell r="J406" t="str">
            <v>001</v>
          </cell>
          <cell r="K406" t="str">
            <v>銀山温泉浄化センター</v>
          </cell>
          <cell r="M406" t="str">
            <v>1</v>
          </cell>
          <cell r="N406" t="str">
            <v>1</v>
          </cell>
          <cell r="Q406">
            <v>37956</v>
          </cell>
          <cell r="R406" t="str">
            <v>平成</v>
          </cell>
          <cell r="S406">
            <v>15</v>
          </cell>
          <cell r="T406">
            <v>12</v>
          </cell>
          <cell r="AB406">
            <v>1800</v>
          </cell>
          <cell r="AC406" t="str">
            <v>最上川</v>
          </cell>
          <cell r="AD406" t="str">
            <v>Ａ</v>
          </cell>
          <cell r="AE406" t="str">
            <v>ロ</v>
          </cell>
          <cell r="AF406">
            <v>15</v>
          </cell>
          <cell r="AK406" t="str">
            <v>銀山川</v>
          </cell>
          <cell r="AN406">
            <v>89</v>
          </cell>
          <cell r="AO406" t="str">
            <v>酒田市</v>
          </cell>
          <cell r="AQ406" t="str">
            <v/>
          </cell>
          <cell r="AR406" t="str">
            <v>オキシディションディッチ法</v>
          </cell>
          <cell r="AS406" t="str">
            <v>0680102001</v>
          </cell>
          <cell r="AT406" t="str">
            <v/>
          </cell>
          <cell r="AU406" t="str">
            <v>10</v>
          </cell>
          <cell r="AV406" t="str">
            <v>10</v>
          </cell>
          <cell r="AW406">
            <v>0</v>
          </cell>
          <cell r="AX406">
            <v>0</v>
          </cell>
          <cell r="AY406">
            <v>0</v>
          </cell>
          <cell r="AZ406">
            <v>0</v>
          </cell>
          <cell r="BA406">
            <v>0</v>
          </cell>
          <cell r="BD406" t="str">
            <v/>
          </cell>
          <cell r="BE406">
            <v>1</v>
          </cell>
          <cell r="BG406" t="str">
            <v>1100</v>
          </cell>
        </row>
        <row r="407">
          <cell r="B407" t="str">
            <v>G070018106100100</v>
          </cell>
          <cell r="C407" t="str">
            <v>07.福島県</v>
          </cell>
          <cell r="D407" t="str">
            <v>001</v>
          </cell>
          <cell r="E407" t="str">
            <v>阿武隈川上流流域</v>
          </cell>
          <cell r="F407" t="str">
            <v>81</v>
          </cell>
          <cell r="G407" t="str">
            <v>流域</v>
          </cell>
          <cell r="H407" t="str">
            <v>流域下水道</v>
          </cell>
          <cell r="I407" t="str">
            <v/>
          </cell>
          <cell r="J407" t="str">
            <v>001</v>
          </cell>
          <cell r="K407" t="str">
            <v>県中浄化センター</v>
          </cell>
          <cell r="M407" t="str">
            <v>1</v>
          </cell>
          <cell r="N407" t="str">
            <v>1</v>
          </cell>
          <cell r="O407" t="str">
            <v>1</v>
          </cell>
          <cell r="Q407">
            <v>32417</v>
          </cell>
          <cell r="R407" t="str">
            <v>昭和</v>
          </cell>
          <cell r="S407">
            <v>63</v>
          </cell>
          <cell r="T407">
            <v>10</v>
          </cell>
          <cell r="AB407">
            <v>529600</v>
          </cell>
          <cell r="AC407" t="str">
            <v>阿武隈川中流（１）</v>
          </cell>
          <cell r="AD407" t="str">
            <v>Ｂ</v>
          </cell>
          <cell r="AE407" t="str">
            <v>イ</v>
          </cell>
          <cell r="AF407">
            <v>15</v>
          </cell>
          <cell r="AK407" t="str">
            <v>阿武隈川</v>
          </cell>
          <cell r="AQ407" t="str">
            <v/>
          </cell>
          <cell r="AR407" t="str">
            <v>標準活性汚泥法</v>
          </cell>
          <cell r="AS407" t="str">
            <v>0700181001</v>
          </cell>
          <cell r="AT407" t="str">
            <v/>
          </cell>
          <cell r="AU407" t="str">
            <v>11</v>
          </cell>
          <cell r="AV407" t="str">
            <v>11</v>
          </cell>
          <cell r="AW407">
            <v>0</v>
          </cell>
          <cell r="AX407">
            <v>0</v>
          </cell>
          <cell r="AY407">
            <v>0</v>
          </cell>
          <cell r="AZ407">
            <v>0</v>
          </cell>
          <cell r="BA407">
            <v>0</v>
          </cell>
          <cell r="BD407" t="str">
            <v/>
          </cell>
          <cell r="BE407">
            <v>1</v>
          </cell>
          <cell r="BG407" t="str">
            <v>1110</v>
          </cell>
        </row>
        <row r="408">
          <cell r="B408" t="str">
            <v>G070018106100200</v>
          </cell>
          <cell r="C408" t="str">
            <v>07.福島県</v>
          </cell>
          <cell r="D408" t="str">
            <v>001</v>
          </cell>
          <cell r="E408" t="str">
            <v>阿武隈川上流流域</v>
          </cell>
          <cell r="F408" t="str">
            <v>81</v>
          </cell>
          <cell r="G408" t="str">
            <v>流域</v>
          </cell>
          <cell r="H408" t="str">
            <v>流域下水道</v>
          </cell>
          <cell r="I408" t="str">
            <v/>
          </cell>
          <cell r="J408" t="str">
            <v>002</v>
          </cell>
          <cell r="K408" t="str">
            <v>県北浄化センター</v>
          </cell>
          <cell r="M408" t="str">
            <v>1</v>
          </cell>
          <cell r="N408" t="str">
            <v>1</v>
          </cell>
          <cell r="Q408">
            <v>35156</v>
          </cell>
          <cell r="R408" t="str">
            <v>平成</v>
          </cell>
          <cell r="S408">
            <v>8</v>
          </cell>
          <cell r="T408">
            <v>4</v>
          </cell>
          <cell r="AB408">
            <v>426000</v>
          </cell>
          <cell r="AC408" t="str">
            <v>阿武隈川中流（２）</v>
          </cell>
          <cell r="AD408" t="str">
            <v>Ｂ</v>
          </cell>
          <cell r="AE408" t="str">
            <v>ロ</v>
          </cell>
          <cell r="AF408">
            <v>15</v>
          </cell>
          <cell r="AK408" t="str">
            <v>阿武隈川</v>
          </cell>
          <cell r="AQ408" t="str">
            <v/>
          </cell>
          <cell r="AR408" t="str">
            <v>標準活性汚泥法</v>
          </cell>
          <cell r="AS408" t="str">
            <v>0700181002</v>
          </cell>
          <cell r="AT408" t="str">
            <v/>
          </cell>
          <cell r="AU408" t="str">
            <v>10</v>
          </cell>
          <cell r="AV408" t="str">
            <v>10</v>
          </cell>
          <cell r="AW408">
            <v>0</v>
          </cell>
          <cell r="AX408">
            <v>0</v>
          </cell>
          <cell r="AY408">
            <v>0</v>
          </cell>
          <cell r="AZ408">
            <v>0</v>
          </cell>
          <cell r="BA408">
            <v>0</v>
          </cell>
          <cell r="BD408" t="str">
            <v/>
          </cell>
          <cell r="BE408">
            <v>1</v>
          </cell>
          <cell r="BG408" t="str">
            <v>1100</v>
          </cell>
        </row>
        <row r="409">
          <cell r="B409" t="str">
            <v>G070028106100100</v>
          </cell>
          <cell r="C409" t="str">
            <v>07.福島県</v>
          </cell>
          <cell r="D409" t="str">
            <v>002</v>
          </cell>
          <cell r="E409" t="str">
            <v>阿武隈川あだたら流域</v>
          </cell>
          <cell r="F409" t="str">
            <v>81</v>
          </cell>
          <cell r="G409" t="str">
            <v>流域</v>
          </cell>
          <cell r="H409" t="str">
            <v>流域下水道</v>
          </cell>
          <cell r="I409" t="str">
            <v/>
          </cell>
          <cell r="J409" t="str">
            <v>001</v>
          </cell>
          <cell r="K409" t="str">
            <v>あだたら清流センター</v>
          </cell>
          <cell r="M409" t="str">
            <v>1</v>
          </cell>
          <cell r="N409" t="str">
            <v>1</v>
          </cell>
          <cell r="Q409">
            <v>36069</v>
          </cell>
          <cell r="R409" t="str">
            <v>平成</v>
          </cell>
          <cell r="S409">
            <v>10</v>
          </cell>
          <cell r="T409">
            <v>10</v>
          </cell>
          <cell r="AB409">
            <v>35800</v>
          </cell>
          <cell r="AC409" t="str">
            <v>設定なし</v>
          </cell>
          <cell r="AF409">
            <v>15</v>
          </cell>
          <cell r="AI409" t="str">
            <v>六角川</v>
          </cell>
          <cell r="AK409" t="str">
            <v>阿武隈川</v>
          </cell>
          <cell r="AQ409" t="str">
            <v/>
          </cell>
          <cell r="AR409" t="str">
            <v>標準活性汚泥法</v>
          </cell>
          <cell r="AS409" t="str">
            <v>0700281001</v>
          </cell>
          <cell r="AT409" t="str">
            <v/>
          </cell>
          <cell r="AU409" t="str">
            <v>10</v>
          </cell>
          <cell r="AV409" t="str">
            <v>10</v>
          </cell>
          <cell r="AW409">
            <v>0</v>
          </cell>
          <cell r="AX409">
            <v>0</v>
          </cell>
          <cell r="AY409">
            <v>0</v>
          </cell>
          <cell r="AZ409">
            <v>0</v>
          </cell>
          <cell r="BA409">
            <v>0</v>
          </cell>
          <cell r="BD409" t="str">
            <v/>
          </cell>
          <cell r="BE409">
            <v>1</v>
          </cell>
          <cell r="BG409" t="str">
            <v>1100</v>
          </cell>
        </row>
        <row r="410">
          <cell r="B410" t="str">
            <v>G070038106100100</v>
          </cell>
          <cell r="C410" t="str">
            <v>07.福島県</v>
          </cell>
          <cell r="D410" t="str">
            <v>003</v>
          </cell>
          <cell r="E410" t="str">
            <v>大滝根川流域</v>
          </cell>
          <cell r="F410" t="str">
            <v>81</v>
          </cell>
          <cell r="G410" t="str">
            <v>流域</v>
          </cell>
          <cell r="H410" t="str">
            <v>流域下水道</v>
          </cell>
          <cell r="I410" t="str">
            <v/>
          </cell>
          <cell r="J410" t="str">
            <v>001</v>
          </cell>
          <cell r="K410" t="str">
            <v>大滝根水環境センター</v>
          </cell>
          <cell r="M410" t="str">
            <v>1</v>
          </cell>
          <cell r="N410" t="str">
            <v>1</v>
          </cell>
          <cell r="Q410">
            <v>38078</v>
          </cell>
          <cell r="R410" t="str">
            <v>平成</v>
          </cell>
          <cell r="S410">
            <v>16</v>
          </cell>
          <cell r="T410">
            <v>4</v>
          </cell>
          <cell r="AB410">
            <v>58900</v>
          </cell>
          <cell r="AC410" t="str">
            <v>大滝根川</v>
          </cell>
          <cell r="AD410" t="str">
            <v>Ａ</v>
          </cell>
          <cell r="AE410" t="str">
            <v>ロ</v>
          </cell>
          <cell r="AF410">
            <v>15</v>
          </cell>
          <cell r="AI410" t="str">
            <v>大滝根川</v>
          </cell>
          <cell r="AK410" t="str">
            <v>阿武隈川</v>
          </cell>
          <cell r="AM410">
            <v>5</v>
          </cell>
          <cell r="AO410" t="str">
            <v>田村市</v>
          </cell>
          <cell r="AQ410" t="str">
            <v/>
          </cell>
          <cell r="AR410" t="str">
            <v>長時間エアレーション法</v>
          </cell>
          <cell r="AS410" t="str">
            <v>0700381001</v>
          </cell>
          <cell r="AT410" t="str">
            <v/>
          </cell>
          <cell r="AU410" t="str">
            <v>10</v>
          </cell>
          <cell r="AV410" t="str">
            <v>10</v>
          </cell>
          <cell r="AW410">
            <v>0</v>
          </cell>
          <cell r="AX410">
            <v>0</v>
          </cell>
          <cell r="AY410">
            <v>0</v>
          </cell>
          <cell r="AZ410">
            <v>0</v>
          </cell>
          <cell r="BA410">
            <v>0</v>
          </cell>
          <cell r="BD410" t="str">
            <v/>
          </cell>
          <cell r="BE410">
            <v>1</v>
          </cell>
          <cell r="BG410" t="str">
            <v>1100</v>
          </cell>
        </row>
        <row r="411">
          <cell r="B411" t="str">
            <v>G072010106100100</v>
          </cell>
          <cell r="C411" t="str">
            <v>07.福島県</v>
          </cell>
          <cell r="D411" t="str">
            <v>201</v>
          </cell>
          <cell r="E411" t="str">
            <v>福島市</v>
          </cell>
          <cell r="F411" t="str">
            <v>01</v>
          </cell>
          <cell r="G411" t="str">
            <v>公共 単独</v>
          </cell>
          <cell r="H411" t="str">
            <v>公共下水道</v>
          </cell>
          <cell r="I411" t="str">
            <v>単独</v>
          </cell>
          <cell r="J411" t="str">
            <v>001</v>
          </cell>
          <cell r="K411" t="str">
            <v>堀河町終末処理場</v>
          </cell>
          <cell r="M411" t="str">
            <v>1</v>
          </cell>
          <cell r="N411" t="str">
            <v>1</v>
          </cell>
          <cell r="P411" t="str">
            <v>1</v>
          </cell>
          <cell r="Q411">
            <v>26238</v>
          </cell>
          <cell r="R411" t="str">
            <v>昭和</v>
          </cell>
          <cell r="S411">
            <v>46</v>
          </cell>
          <cell r="T411">
            <v>11</v>
          </cell>
          <cell r="AB411">
            <v>43911</v>
          </cell>
          <cell r="AC411" t="str">
            <v>阿武隈川　中流（２）</v>
          </cell>
          <cell r="AD411" t="str">
            <v>Ｂ</v>
          </cell>
          <cell r="AE411" t="str">
            <v>ロ</v>
          </cell>
          <cell r="AF411">
            <v>15</v>
          </cell>
          <cell r="AK411" t="str">
            <v>阿武隈川</v>
          </cell>
          <cell r="AQ411" t="str">
            <v/>
          </cell>
          <cell r="AR411" t="str">
            <v>標準活性汚泥法</v>
          </cell>
          <cell r="AS411" t="str">
            <v>0720101001</v>
          </cell>
          <cell r="AT411" t="str">
            <v/>
          </cell>
          <cell r="AU411" t="str">
            <v>10</v>
          </cell>
          <cell r="AV411" t="str">
            <v>10</v>
          </cell>
          <cell r="AW411">
            <v>1</v>
          </cell>
          <cell r="AX411">
            <v>0</v>
          </cell>
          <cell r="AY411">
            <v>0</v>
          </cell>
          <cell r="AZ411">
            <v>0</v>
          </cell>
          <cell r="BA411">
            <v>0</v>
          </cell>
          <cell r="BD411" t="str">
            <v/>
          </cell>
          <cell r="BE411">
            <v>1</v>
          </cell>
          <cell r="BG411" t="str">
            <v>1101</v>
          </cell>
        </row>
        <row r="412">
          <cell r="B412" t="str">
            <v>G072010206100200</v>
          </cell>
          <cell r="C412" t="str">
            <v>07.福島県</v>
          </cell>
          <cell r="D412" t="str">
            <v>201</v>
          </cell>
          <cell r="E412" t="str">
            <v>福島市</v>
          </cell>
          <cell r="F412" t="str">
            <v>02</v>
          </cell>
          <cell r="G412" t="str">
            <v>特環 単独</v>
          </cell>
          <cell r="H412" t="str">
            <v>特定環境保全公共下水道</v>
          </cell>
          <cell r="I412" t="str">
            <v>単独</v>
          </cell>
          <cell r="J412" t="str">
            <v>002</v>
          </cell>
          <cell r="K412" t="str">
            <v>土湯温泉町浄化センター</v>
          </cell>
          <cell r="M412" t="str">
            <v>1</v>
          </cell>
          <cell r="N412" t="str">
            <v>1</v>
          </cell>
          <cell r="Q412">
            <v>34973</v>
          </cell>
          <cell r="R412" t="str">
            <v>平成</v>
          </cell>
          <cell r="S412">
            <v>7</v>
          </cell>
          <cell r="T412">
            <v>10</v>
          </cell>
          <cell r="AB412">
            <v>8063</v>
          </cell>
          <cell r="AC412" t="str">
            <v>荒川</v>
          </cell>
          <cell r="AD412" t="str">
            <v>Ａ</v>
          </cell>
          <cell r="AE412" t="str">
            <v>イ</v>
          </cell>
          <cell r="AF412">
            <v>15</v>
          </cell>
          <cell r="AI412" t="str">
            <v>荒川</v>
          </cell>
          <cell r="AK412" t="str">
            <v>阿武隈川</v>
          </cell>
          <cell r="AQ412" t="str">
            <v/>
          </cell>
          <cell r="AR412" t="str">
            <v>嫌気好気活性汚泥法</v>
          </cell>
          <cell r="AS412" t="str">
            <v>0720102002</v>
          </cell>
          <cell r="AT412" t="str">
            <v/>
          </cell>
          <cell r="AU412" t="str">
            <v>10</v>
          </cell>
          <cell r="AV412" t="str">
            <v>10</v>
          </cell>
          <cell r="AW412">
            <v>0</v>
          </cell>
          <cell r="AX412">
            <v>0</v>
          </cell>
          <cell r="AY412">
            <v>0</v>
          </cell>
          <cell r="AZ412">
            <v>0</v>
          </cell>
          <cell r="BA412">
            <v>0</v>
          </cell>
          <cell r="BD412" t="str">
            <v/>
          </cell>
          <cell r="BE412">
            <v>1</v>
          </cell>
          <cell r="BG412" t="str">
            <v>1100</v>
          </cell>
        </row>
        <row r="413">
          <cell r="B413" t="str">
            <v>G072020106100100</v>
          </cell>
          <cell r="C413" t="str">
            <v>07.福島県</v>
          </cell>
          <cell r="D413" t="str">
            <v>202</v>
          </cell>
          <cell r="E413" t="str">
            <v>会津若松市</v>
          </cell>
          <cell r="F413" t="str">
            <v>01</v>
          </cell>
          <cell r="G413" t="str">
            <v>公共 単独</v>
          </cell>
          <cell r="H413" t="str">
            <v>公共下水道</v>
          </cell>
          <cell r="I413" t="str">
            <v>単独</v>
          </cell>
          <cell r="J413" t="str">
            <v>001</v>
          </cell>
          <cell r="K413" t="str">
            <v>会津若松市下水浄化工場</v>
          </cell>
          <cell r="M413" t="str">
            <v>1</v>
          </cell>
          <cell r="N413" t="str">
            <v>1</v>
          </cell>
          <cell r="O413" t="str">
            <v>1</v>
          </cell>
          <cell r="Q413">
            <v>30133</v>
          </cell>
          <cell r="R413" t="str">
            <v>昭和</v>
          </cell>
          <cell r="S413">
            <v>57</v>
          </cell>
          <cell r="T413">
            <v>7</v>
          </cell>
          <cell r="AB413">
            <v>73000</v>
          </cell>
          <cell r="AC413" t="str">
            <v>阿賀川</v>
          </cell>
          <cell r="AD413" t="str">
            <v>Ａ</v>
          </cell>
          <cell r="AE413" t="str">
            <v>イ</v>
          </cell>
          <cell r="AF413">
            <v>15</v>
          </cell>
          <cell r="AK413" t="str">
            <v>阿賀川</v>
          </cell>
          <cell r="AL413" t="str">
            <v>馬越浄水場取水口</v>
          </cell>
          <cell r="AM413">
            <v>18</v>
          </cell>
          <cell r="AO413" t="str">
            <v>会津若松市、会津美里</v>
          </cell>
          <cell r="AQ413" t="str">
            <v/>
          </cell>
          <cell r="AR413" t="str">
            <v>標準活性汚泥法</v>
          </cell>
          <cell r="AS413" t="str">
            <v>0720201001</v>
          </cell>
          <cell r="AT413" t="str">
            <v/>
          </cell>
          <cell r="AU413" t="str">
            <v>11</v>
          </cell>
          <cell r="AV413" t="str">
            <v>11</v>
          </cell>
          <cell r="AW413">
            <v>0</v>
          </cell>
          <cell r="AX413">
            <v>0</v>
          </cell>
          <cell r="AY413">
            <v>0</v>
          </cell>
          <cell r="AZ413">
            <v>0</v>
          </cell>
          <cell r="BA413">
            <v>0</v>
          </cell>
          <cell r="BD413" t="str">
            <v/>
          </cell>
          <cell r="BE413">
            <v>1</v>
          </cell>
          <cell r="BG413" t="str">
            <v>1110</v>
          </cell>
        </row>
        <row r="414">
          <cell r="B414" t="str">
            <v>G072020106100200</v>
          </cell>
          <cell r="C414" t="str">
            <v>07.福島県</v>
          </cell>
          <cell r="D414" t="str">
            <v>202</v>
          </cell>
          <cell r="E414" t="str">
            <v>会津若松市</v>
          </cell>
          <cell r="F414" t="str">
            <v>01</v>
          </cell>
          <cell r="G414" t="str">
            <v>公共 単独</v>
          </cell>
          <cell r="H414" t="str">
            <v>公共下水道</v>
          </cell>
          <cell r="I414" t="str">
            <v>単独</v>
          </cell>
          <cell r="J414" t="str">
            <v>002</v>
          </cell>
          <cell r="K414" t="str">
            <v>北会津北部浄化センター</v>
          </cell>
          <cell r="M414" t="str">
            <v>1</v>
          </cell>
          <cell r="N414" t="str">
            <v>1</v>
          </cell>
          <cell r="Q414">
            <v>37347</v>
          </cell>
          <cell r="R414" t="str">
            <v>平成</v>
          </cell>
          <cell r="S414">
            <v>14</v>
          </cell>
          <cell r="T414">
            <v>4</v>
          </cell>
          <cell r="AB414">
            <v>12657</v>
          </cell>
          <cell r="AC414" t="str">
            <v>宮川</v>
          </cell>
          <cell r="AD414" t="str">
            <v>Ａ</v>
          </cell>
          <cell r="AE414" t="str">
            <v>イ</v>
          </cell>
          <cell r="AF414">
            <v>20</v>
          </cell>
          <cell r="AK414" t="str">
            <v>宮川</v>
          </cell>
          <cell r="AL414" t="str">
            <v>新郷ダム</v>
          </cell>
          <cell r="AN414">
            <v>25</v>
          </cell>
          <cell r="AP414" t="str">
            <v>ＢＯＤ認可値</v>
          </cell>
          <cell r="AQ414" t="str">
            <v/>
          </cell>
          <cell r="AR414" t="str">
            <v>オキシディションディッチ法</v>
          </cell>
          <cell r="AS414" t="str">
            <v>0720201002</v>
          </cell>
          <cell r="AT414" t="str">
            <v/>
          </cell>
          <cell r="AU414" t="str">
            <v>10</v>
          </cell>
          <cell r="AV414" t="str">
            <v>10</v>
          </cell>
          <cell r="AW414">
            <v>0</v>
          </cell>
          <cell r="AX414">
            <v>0</v>
          </cell>
          <cell r="AY414">
            <v>0</v>
          </cell>
          <cell r="AZ414">
            <v>0</v>
          </cell>
          <cell r="BA414">
            <v>0</v>
          </cell>
          <cell r="BD414" t="str">
            <v/>
          </cell>
          <cell r="BE414">
            <v>1</v>
          </cell>
          <cell r="BG414" t="str">
            <v>1100</v>
          </cell>
        </row>
        <row r="415">
          <cell r="B415" t="str">
            <v>G072020106100300</v>
          </cell>
          <cell r="C415" t="str">
            <v>07.福島県</v>
          </cell>
          <cell r="D415" t="str">
            <v>202</v>
          </cell>
          <cell r="E415" t="str">
            <v>会津若松市</v>
          </cell>
          <cell r="F415" t="str">
            <v>01</v>
          </cell>
          <cell r="G415" t="str">
            <v>公共 単独</v>
          </cell>
          <cell r="H415" t="str">
            <v>公共下水道</v>
          </cell>
          <cell r="I415" t="str">
            <v>単独</v>
          </cell>
          <cell r="J415" t="str">
            <v>003</v>
          </cell>
          <cell r="K415" t="str">
            <v>河東浄化センター</v>
          </cell>
          <cell r="M415" t="str">
            <v>1</v>
          </cell>
          <cell r="Q415">
            <v>38436</v>
          </cell>
          <cell r="R415" t="str">
            <v>平成</v>
          </cell>
          <cell r="S415">
            <v>17</v>
          </cell>
          <cell r="T415">
            <v>3</v>
          </cell>
          <cell r="AB415">
            <v>18200</v>
          </cell>
          <cell r="AC415" t="str">
            <v>旧湯川</v>
          </cell>
          <cell r="AD415" t="str">
            <v>Ｂ</v>
          </cell>
          <cell r="AE415" t="str">
            <v>ロ</v>
          </cell>
          <cell r="AF415">
            <v>15</v>
          </cell>
          <cell r="AI415" t="str">
            <v>谷沢川</v>
          </cell>
          <cell r="AK415" t="str">
            <v>溷川</v>
          </cell>
          <cell r="AL415" t="str">
            <v>新郷ダム</v>
          </cell>
          <cell r="AN415">
            <v>25</v>
          </cell>
          <cell r="AO415" t="str">
            <v>高郷村</v>
          </cell>
          <cell r="AQ415" t="str">
            <v/>
          </cell>
          <cell r="AR415" t="str">
            <v>嫌気好気ろ床法</v>
          </cell>
          <cell r="AS415" t="str">
            <v>0720201003</v>
          </cell>
          <cell r="AT415" t="str">
            <v/>
          </cell>
          <cell r="AU415" t="str">
            <v>00</v>
          </cell>
          <cell r="AV415" t="str">
            <v>00</v>
          </cell>
          <cell r="AW415">
            <v>0</v>
          </cell>
          <cell r="AX415">
            <v>0</v>
          </cell>
          <cell r="AY415">
            <v>0</v>
          </cell>
          <cell r="AZ415">
            <v>0</v>
          </cell>
          <cell r="BA415">
            <v>0</v>
          </cell>
          <cell r="BD415" t="str">
            <v/>
          </cell>
          <cell r="BE415">
            <v>1</v>
          </cell>
          <cell r="BG415" t="str">
            <v>1000</v>
          </cell>
        </row>
        <row r="416">
          <cell r="B416" t="str">
            <v>G072030206100100</v>
          </cell>
          <cell r="C416" t="str">
            <v>07.福島県</v>
          </cell>
          <cell r="D416" t="str">
            <v>203</v>
          </cell>
          <cell r="E416" t="str">
            <v>郡山市</v>
          </cell>
          <cell r="F416" t="str">
            <v>02</v>
          </cell>
          <cell r="G416" t="str">
            <v>特環 単独</v>
          </cell>
          <cell r="H416" t="str">
            <v>特定環境保全公共下水道</v>
          </cell>
          <cell r="I416" t="str">
            <v>単独</v>
          </cell>
          <cell r="J416" t="str">
            <v>001</v>
          </cell>
          <cell r="K416" t="str">
            <v>郡山市湖南浄化センター</v>
          </cell>
          <cell r="M416" t="str">
            <v>1</v>
          </cell>
          <cell r="N416" t="str">
            <v>1</v>
          </cell>
          <cell r="Q416">
            <v>37438</v>
          </cell>
          <cell r="R416" t="str">
            <v>平成</v>
          </cell>
          <cell r="S416">
            <v>14</v>
          </cell>
          <cell r="T416">
            <v>7</v>
          </cell>
          <cell r="AB416">
            <v>14900</v>
          </cell>
          <cell r="AC416" t="str">
            <v>猪苗代湖</v>
          </cell>
          <cell r="AD416" t="str">
            <v>Ａ</v>
          </cell>
          <cell r="AE416" t="str">
            <v>イ</v>
          </cell>
          <cell r="AF416">
            <v>15</v>
          </cell>
          <cell r="AG416">
            <v>20</v>
          </cell>
          <cell r="AH416">
            <v>1</v>
          </cell>
          <cell r="AI416" t="str">
            <v>農業用水路</v>
          </cell>
          <cell r="AL416" t="str">
            <v>浜路取水口</v>
          </cell>
          <cell r="AN416">
            <v>5</v>
          </cell>
          <cell r="AO416" t="str">
            <v>郡山市</v>
          </cell>
          <cell r="AQ416" t="str">
            <v/>
          </cell>
          <cell r="AR416" t="str">
            <v>循環式硝化脱窒法</v>
          </cell>
          <cell r="AS416" t="str">
            <v>0720302001</v>
          </cell>
          <cell r="AT416" t="str">
            <v/>
          </cell>
          <cell r="AU416" t="str">
            <v>10</v>
          </cell>
          <cell r="AV416" t="str">
            <v>10</v>
          </cell>
          <cell r="AW416">
            <v>0</v>
          </cell>
          <cell r="AX416">
            <v>0</v>
          </cell>
          <cell r="AY416">
            <v>0</v>
          </cell>
          <cell r="AZ416">
            <v>0</v>
          </cell>
          <cell r="BA416">
            <v>0</v>
          </cell>
          <cell r="BD416" t="str">
            <v/>
          </cell>
          <cell r="BE416">
            <v>1</v>
          </cell>
          <cell r="BG416" t="str">
            <v>1100</v>
          </cell>
        </row>
        <row r="417">
          <cell r="B417" t="str">
            <v>G072040106100100</v>
          </cell>
          <cell r="C417" t="str">
            <v>07.福島県</v>
          </cell>
          <cell r="D417" t="str">
            <v>204</v>
          </cell>
          <cell r="E417" t="str">
            <v>いわき市</v>
          </cell>
          <cell r="F417" t="str">
            <v>01</v>
          </cell>
          <cell r="G417" t="str">
            <v>公共 単独</v>
          </cell>
          <cell r="H417" t="str">
            <v>公共下水道</v>
          </cell>
          <cell r="I417" t="str">
            <v>単独</v>
          </cell>
          <cell r="J417" t="str">
            <v>001</v>
          </cell>
          <cell r="K417" t="str">
            <v>東部浄化センター</v>
          </cell>
          <cell r="M417" t="str">
            <v>1</v>
          </cell>
          <cell r="N417" t="str">
            <v>1</v>
          </cell>
          <cell r="Q417">
            <v>25477</v>
          </cell>
          <cell r="R417" t="str">
            <v>昭和</v>
          </cell>
          <cell r="S417">
            <v>44</v>
          </cell>
          <cell r="T417">
            <v>10</v>
          </cell>
          <cell r="AB417">
            <v>23050</v>
          </cell>
          <cell r="AC417" t="str">
            <v>藤原川</v>
          </cell>
          <cell r="AD417" t="str">
            <v>Ｃ</v>
          </cell>
          <cell r="AE417" t="str">
            <v>ハ</v>
          </cell>
          <cell r="AF417">
            <v>15</v>
          </cell>
          <cell r="AJ417" t="str">
            <v>藤原川</v>
          </cell>
          <cell r="AQ417" t="str">
            <v/>
          </cell>
          <cell r="AR417" t="str">
            <v>その他処理方法</v>
          </cell>
          <cell r="AS417" t="str">
            <v>0720401001</v>
          </cell>
          <cell r="AT417" t="str">
            <v/>
          </cell>
          <cell r="AU417" t="str">
            <v>10</v>
          </cell>
          <cell r="AV417" t="str">
            <v>10</v>
          </cell>
          <cell r="AW417">
            <v>0</v>
          </cell>
          <cell r="AX417">
            <v>0</v>
          </cell>
          <cell r="AY417">
            <v>0</v>
          </cell>
          <cell r="AZ417">
            <v>0</v>
          </cell>
          <cell r="BA417">
            <v>0</v>
          </cell>
          <cell r="BD417" t="str">
            <v/>
          </cell>
          <cell r="BE417">
            <v>1</v>
          </cell>
          <cell r="BG417" t="str">
            <v>1100</v>
          </cell>
        </row>
        <row r="418">
          <cell r="B418" t="str">
            <v>G072040106100200</v>
          </cell>
          <cell r="C418" t="str">
            <v>07.福島県</v>
          </cell>
          <cell r="D418" t="str">
            <v>204</v>
          </cell>
          <cell r="E418" t="str">
            <v>いわき市</v>
          </cell>
          <cell r="F418" t="str">
            <v>01</v>
          </cell>
          <cell r="G418" t="str">
            <v>公共 単独</v>
          </cell>
          <cell r="H418" t="str">
            <v>公共下水道</v>
          </cell>
          <cell r="I418" t="str">
            <v>単独</v>
          </cell>
          <cell r="J418" t="str">
            <v>002</v>
          </cell>
          <cell r="K418" t="str">
            <v>北部浄化センター</v>
          </cell>
          <cell r="M418" t="str">
            <v>1</v>
          </cell>
          <cell r="N418" t="str">
            <v>1</v>
          </cell>
          <cell r="Q418">
            <v>27150</v>
          </cell>
          <cell r="R418" t="str">
            <v>昭和</v>
          </cell>
          <cell r="S418">
            <v>49</v>
          </cell>
          <cell r="T418">
            <v>5</v>
          </cell>
          <cell r="AB418">
            <v>46490</v>
          </cell>
          <cell r="AC418" t="str">
            <v>夏井川</v>
          </cell>
          <cell r="AD418" t="str">
            <v>Ａ</v>
          </cell>
          <cell r="AE418" t="str">
            <v>イ</v>
          </cell>
          <cell r="AF418">
            <v>15</v>
          </cell>
          <cell r="AJ418" t="str">
            <v>夏井川</v>
          </cell>
          <cell r="AL418" t="str">
            <v>下平窪取水場</v>
          </cell>
          <cell r="AM418">
            <v>8</v>
          </cell>
          <cell r="AO418" t="str">
            <v>いわき市</v>
          </cell>
          <cell r="AQ418" t="str">
            <v/>
          </cell>
          <cell r="AR418" t="str">
            <v>標準活性汚泥法</v>
          </cell>
          <cell r="AS418" t="str">
            <v>0720401002</v>
          </cell>
          <cell r="AT418" t="str">
            <v/>
          </cell>
          <cell r="AU418" t="str">
            <v>10</v>
          </cell>
          <cell r="AV418" t="str">
            <v>10</v>
          </cell>
          <cell r="AW418">
            <v>0</v>
          </cell>
          <cell r="AX418">
            <v>0</v>
          </cell>
          <cell r="AY418">
            <v>0</v>
          </cell>
          <cell r="AZ418">
            <v>0</v>
          </cell>
          <cell r="BA418">
            <v>0</v>
          </cell>
          <cell r="BD418" t="str">
            <v/>
          </cell>
          <cell r="BE418">
            <v>1</v>
          </cell>
          <cell r="BG418" t="str">
            <v>1100</v>
          </cell>
        </row>
        <row r="419">
          <cell r="B419" t="str">
            <v>G072040106100300</v>
          </cell>
          <cell r="C419" t="str">
            <v>07.福島県</v>
          </cell>
          <cell r="D419" t="str">
            <v>204</v>
          </cell>
          <cell r="E419" t="str">
            <v>いわき市</v>
          </cell>
          <cell r="F419" t="str">
            <v>01</v>
          </cell>
          <cell r="G419" t="str">
            <v>公共 単独</v>
          </cell>
          <cell r="H419" t="str">
            <v>公共下水道</v>
          </cell>
          <cell r="I419" t="str">
            <v>単独</v>
          </cell>
          <cell r="J419" t="str">
            <v>003</v>
          </cell>
          <cell r="K419" t="str">
            <v>中部浄化センター</v>
          </cell>
          <cell r="M419" t="str">
            <v>1</v>
          </cell>
          <cell r="N419" t="str">
            <v>1</v>
          </cell>
          <cell r="Q419">
            <v>31717</v>
          </cell>
          <cell r="R419" t="str">
            <v>昭和</v>
          </cell>
          <cell r="S419">
            <v>61</v>
          </cell>
          <cell r="T419">
            <v>11</v>
          </cell>
          <cell r="AB419">
            <v>237086</v>
          </cell>
          <cell r="AC419" t="str">
            <v>藤原川</v>
          </cell>
          <cell r="AD419" t="str">
            <v>Ｃ</v>
          </cell>
          <cell r="AE419" t="str">
            <v>ハ</v>
          </cell>
          <cell r="AF419">
            <v>15</v>
          </cell>
          <cell r="AJ419" t="str">
            <v>藤原川</v>
          </cell>
          <cell r="AQ419" t="str">
            <v/>
          </cell>
          <cell r="AR419" t="str">
            <v>標準活性汚泥法</v>
          </cell>
          <cell r="AS419" t="str">
            <v>0720401003</v>
          </cell>
          <cell r="AT419" t="str">
            <v/>
          </cell>
          <cell r="AU419" t="str">
            <v>10</v>
          </cell>
          <cell r="AV419" t="str">
            <v>10</v>
          </cell>
          <cell r="AW419">
            <v>0</v>
          </cell>
          <cell r="AX419">
            <v>0</v>
          </cell>
          <cell r="AY419">
            <v>0</v>
          </cell>
          <cell r="AZ419">
            <v>0</v>
          </cell>
          <cell r="BA419">
            <v>0</v>
          </cell>
          <cell r="BD419" t="str">
            <v/>
          </cell>
          <cell r="BE419">
            <v>1</v>
          </cell>
          <cell r="BG419" t="str">
            <v>1100</v>
          </cell>
        </row>
        <row r="420">
          <cell r="B420" t="str">
            <v>G072040106100400</v>
          </cell>
          <cell r="C420" t="str">
            <v>07.福島県</v>
          </cell>
          <cell r="D420" t="str">
            <v>204</v>
          </cell>
          <cell r="E420" t="str">
            <v>いわき市</v>
          </cell>
          <cell r="F420" t="str">
            <v>01</v>
          </cell>
          <cell r="G420" t="str">
            <v>公共 単独</v>
          </cell>
          <cell r="H420" t="str">
            <v>公共下水道</v>
          </cell>
          <cell r="I420" t="str">
            <v>単独</v>
          </cell>
          <cell r="J420" t="str">
            <v>004</v>
          </cell>
          <cell r="K420" t="str">
            <v>南部浄化センター</v>
          </cell>
          <cell r="M420" t="str">
            <v>1</v>
          </cell>
          <cell r="N420" t="str">
            <v>1</v>
          </cell>
          <cell r="Q420">
            <v>35156</v>
          </cell>
          <cell r="R420" t="str">
            <v>平成</v>
          </cell>
          <cell r="S420">
            <v>8</v>
          </cell>
          <cell r="T420">
            <v>4</v>
          </cell>
          <cell r="AB420">
            <v>58200</v>
          </cell>
          <cell r="AC420" t="str">
            <v>蛭田川</v>
          </cell>
          <cell r="AD420" t="str">
            <v>Ｃ</v>
          </cell>
          <cell r="AE420" t="str">
            <v>ハ</v>
          </cell>
          <cell r="AF420">
            <v>15</v>
          </cell>
          <cell r="AJ420" t="str">
            <v>蛭田川</v>
          </cell>
          <cell r="AQ420" t="str">
            <v/>
          </cell>
          <cell r="AR420" t="str">
            <v>標準活性汚泥法</v>
          </cell>
          <cell r="AS420" t="str">
            <v>0720401004</v>
          </cell>
          <cell r="AT420" t="str">
            <v/>
          </cell>
          <cell r="AU420" t="str">
            <v>10</v>
          </cell>
          <cell r="AV420" t="str">
            <v>10</v>
          </cell>
          <cell r="AW420">
            <v>0</v>
          </cell>
          <cell r="AX420">
            <v>0</v>
          </cell>
          <cell r="AY420">
            <v>0</v>
          </cell>
          <cell r="AZ420">
            <v>0</v>
          </cell>
          <cell r="BA420">
            <v>0</v>
          </cell>
          <cell r="BD420" t="str">
            <v/>
          </cell>
          <cell r="BE420">
            <v>1</v>
          </cell>
          <cell r="BG420" t="str">
            <v>1100</v>
          </cell>
        </row>
        <row r="421">
          <cell r="B421" t="str">
            <v>G072050106100100</v>
          </cell>
          <cell r="C421" t="str">
            <v>07.福島県</v>
          </cell>
          <cell r="D421" t="str">
            <v>205</v>
          </cell>
          <cell r="E421" t="str">
            <v>白河市</v>
          </cell>
          <cell r="F421" t="str">
            <v>01</v>
          </cell>
          <cell r="G421" t="str">
            <v>公共 単独</v>
          </cell>
          <cell r="H421" t="str">
            <v>公共下水道</v>
          </cell>
          <cell r="I421" t="str">
            <v>単独</v>
          </cell>
          <cell r="J421" t="str">
            <v>001</v>
          </cell>
          <cell r="K421" t="str">
            <v>白河都市環境センター</v>
          </cell>
          <cell r="M421" t="str">
            <v>1</v>
          </cell>
          <cell r="N421" t="str">
            <v>1</v>
          </cell>
          <cell r="Q421">
            <v>34394</v>
          </cell>
          <cell r="R421" t="str">
            <v>平成</v>
          </cell>
          <cell r="S421">
            <v>6</v>
          </cell>
          <cell r="T421">
            <v>3</v>
          </cell>
          <cell r="AB421">
            <v>54923</v>
          </cell>
          <cell r="AF421">
            <v>15</v>
          </cell>
          <cell r="AK421" t="str">
            <v>阿武隈川</v>
          </cell>
          <cell r="AQ421" t="str">
            <v/>
          </cell>
          <cell r="AR421" t="str">
            <v>標準活性汚泥法</v>
          </cell>
          <cell r="AS421" t="str">
            <v>0720501001</v>
          </cell>
          <cell r="AT421" t="str">
            <v/>
          </cell>
          <cell r="AU421" t="str">
            <v>10</v>
          </cell>
          <cell r="AV421" t="str">
            <v>10</v>
          </cell>
          <cell r="AW421">
            <v>0</v>
          </cell>
          <cell r="AX421">
            <v>0</v>
          </cell>
          <cell r="AY421">
            <v>0</v>
          </cell>
          <cell r="AZ421">
            <v>0</v>
          </cell>
          <cell r="BA421">
            <v>0</v>
          </cell>
          <cell r="BD421" t="str">
            <v/>
          </cell>
          <cell r="BE421">
            <v>1</v>
          </cell>
          <cell r="BG421" t="str">
            <v>1100</v>
          </cell>
        </row>
        <row r="422">
          <cell r="B422" t="str">
            <v>G072070206100100</v>
          </cell>
          <cell r="C422" t="str">
            <v>07.福島県</v>
          </cell>
          <cell r="D422" t="str">
            <v>207</v>
          </cell>
          <cell r="E422" t="str">
            <v>須賀川市</v>
          </cell>
          <cell r="F422" t="str">
            <v>02</v>
          </cell>
          <cell r="G422" t="str">
            <v>特環 単独</v>
          </cell>
          <cell r="H422" t="str">
            <v>特定環境保全公共下水道</v>
          </cell>
          <cell r="I422" t="str">
            <v>単独</v>
          </cell>
          <cell r="J422" t="str">
            <v>001</v>
          </cell>
          <cell r="K422" t="str">
            <v>北作浄化センター</v>
          </cell>
          <cell r="M422" t="str">
            <v>1</v>
          </cell>
          <cell r="N422" t="str">
            <v>1</v>
          </cell>
          <cell r="Q422">
            <v>35643</v>
          </cell>
          <cell r="R422" t="str">
            <v>平成</v>
          </cell>
          <cell r="S422">
            <v>9</v>
          </cell>
          <cell r="T422">
            <v>8</v>
          </cell>
          <cell r="AB422">
            <v>3680</v>
          </cell>
          <cell r="AC422" t="str">
            <v>設定なし</v>
          </cell>
          <cell r="AF422">
            <v>20</v>
          </cell>
          <cell r="AI422" t="str">
            <v>稲川</v>
          </cell>
          <cell r="AL422" t="str">
            <v>西川</v>
          </cell>
          <cell r="AN422">
            <v>4</v>
          </cell>
          <cell r="AO422" t="str">
            <v>須賀川市</v>
          </cell>
          <cell r="AP422" t="str">
            <v>ＢＯＤ認可値</v>
          </cell>
          <cell r="AQ422" t="str">
            <v/>
          </cell>
          <cell r="AR422" t="str">
            <v>オキシディションディッチ法</v>
          </cell>
          <cell r="AS422" t="str">
            <v>0720702001</v>
          </cell>
          <cell r="AT422" t="str">
            <v/>
          </cell>
          <cell r="AU422" t="str">
            <v>10</v>
          </cell>
          <cell r="AV422" t="str">
            <v>10</v>
          </cell>
          <cell r="AW422">
            <v>0</v>
          </cell>
          <cell r="AX422">
            <v>0</v>
          </cell>
          <cell r="AY422">
            <v>0</v>
          </cell>
          <cell r="AZ422">
            <v>0</v>
          </cell>
          <cell r="BA422">
            <v>0</v>
          </cell>
          <cell r="BD422" t="str">
            <v/>
          </cell>
          <cell r="BE422">
            <v>1</v>
          </cell>
          <cell r="BG422" t="str">
            <v>1100</v>
          </cell>
        </row>
        <row r="423">
          <cell r="B423" t="str">
            <v>G072070206100200</v>
          </cell>
          <cell r="C423" t="str">
            <v>07.福島県</v>
          </cell>
          <cell r="D423" t="str">
            <v>207</v>
          </cell>
          <cell r="E423" t="str">
            <v>須賀川市</v>
          </cell>
          <cell r="F423" t="str">
            <v>02</v>
          </cell>
          <cell r="G423" t="str">
            <v>特環 単独</v>
          </cell>
          <cell r="H423" t="str">
            <v>特定環境保全公共下水道</v>
          </cell>
          <cell r="I423" t="str">
            <v>単独</v>
          </cell>
          <cell r="J423" t="str">
            <v>002</v>
          </cell>
          <cell r="K423" t="str">
            <v>羽山清流センター</v>
          </cell>
          <cell r="M423" t="str">
            <v>1</v>
          </cell>
          <cell r="N423" t="str">
            <v>1</v>
          </cell>
          <cell r="Q423">
            <v>37073</v>
          </cell>
          <cell r="R423" t="str">
            <v>平成</v>
          </cell>
          <cell r="S423">
            <v>13</v>
          </cell>
          <cell r="T423">
            <v>7</v>
          </cell>
          <cell r="AB423">
            <v>2327</v>
          </cell>
          <cell r="AC423" t="str">
            <v>阿武隈川上流流域</v>
          </cell>
          <cell r="AD423" t="str">
            <v>Ｃ</v>
          </cell>
          <cell r="AE423" t="str">
            <v>ロ</v>
          </cell>
          <cell r="AF423">
            <v>20</v>
          </cell>
          <cell r="AI423" t="str">
            <v>大栗川</v>
          </cell>
          <cell r="AK423" t="str">
            <v>阿武隈川</v>
          </cell>
          <cell r="AL423" t="str">
            <v>福島</v>
          </cell>
          <cell r="AN423">
            <v>73.2</v>
          </cell>
          <cell r="AO423" t="str">
            <v>福島市</v>
          </cell>
          <cell r="AP423" t="str">
            <v>ＢＯＤ認可値</v>
          </cell>
          <cell r="AQ423" t="str">
            <v/>
          </cell>
          <cell r="AR423" t="str">
            <v>オキシディションディッチ法</v>
          </cell>
          <cell r="AS423" t="str">
            <v>0720702002</v>
          </cell>
          <cell r="AT423" t="str">
            <v/>
          </cell>
          <cell r="AU423" t="str">
            <v>10</v>
          </cell>
          <cell r="AV423" t="str">
            <v>10</v>
          </cell>
          <cell r="AW423">
            <v>0</v>
          </cell>
          <cell r="AX423">
            <v>0</v>
          </cell>
          <cell r="AY423">
            <v>0</v>
          </cell>
          <cell r="AZ423">
            <v>0</v>
          </cell>
          <cell r="BA423">
            <v>0</v>
          </cell>
          <cell r="BD423" t="str">
            <v/>
          </cell>
          <cell r="BE423">
            <v>1</v>
          </cell>
          <cell r="BG423" t="str">
            <v>1100</v>
          </cell>
        </row>
        <row r="424">
          <cell r="B424" t="str">
            <v>G072080106100100</v>
          </cell>
          <cell r="C424" t="str">
            <v>07.福島県</v>
          </cell>
          <cell r="D424" t="str">
            <v>208</v>
          </cell>
          <cell r="E424" t="str">
            <v>喜多方市</v>
          </cell>
          <cell r="F424" t="str">
            <v>01</v>
          </cell>
          <cell r="G424" t="str">
            <v>公共 単独</v>
          </cell>
          <cell r="H424" t="str">
            <v>公共下水道</v>
          </cell>
          <cell r="I424" t="str">
            <v>単独</v>
          </cell>
          <cell r="J424" t="str">
            <v>001</v>
          </cell>
          <cell r="K424" t="str">
            <v>喜多方浄化センター</v>
          </cell>
          <cell r="M424" t="str">
            <v>1</v>
          </cell>
          <cell r="N424" t="str">
            <v>1</v>
          </cell>
          <cell r="Q424">
            <v>34243</v>
          </cell>
          <cell r="R424" t="str">
            <v>平成</v>
          </cell>
          <cell r="S424">
            <v>5</v>
          </cell>
          <cell r="T424">
            <v>10</v>
          </cell>
          <cell r="AB424">
            <v>45000</v>
          </cell>
          <cell r="AC424" t="str">
            <v>濁川</v>
          </cell>
          <cell r="AD424" t="str">
            <v>Ｂ</v>
          </cell>
          <cell r="AE424" t="str">
            <v>イ</v>
          </cell>
          <cell r="AF424">
            <v>15</v>
          </cell>
          <cell r="AK424" t="str">
            <v>濁川</v>
          </cell>
          <cell r="AQ424" t="str">
            <v/>
          </cell>
          <cell r="AR424" t="str">
            <v>オキシディションディッチ法</v>
          </cell>
          <cell r="AS424" t="str">
            <v>0720801001</v>
          </cell>
          <cell r="AT424" t="str">
            <v/>
          </cell>
          <cell r="AU424" t="str">
            <v>10</v>
          </cell>
          <cell r="AV424" t="str">
            <v>10</v>
          </cell>
          <cell r="AW424">
            <v>0</v>
          </cell>
          <cell r="AX424">
            <v>0</v>
          </cell>
          <cell r="AY424">
            <v>0</v>
          </cell>
          <cell r="AZ424">
            <v>0</v>
          </cell>
          <cell r="BA424">
            <v>0</v>
          </cell>
          <cell r="BD424" t="str">
            <v/>
          </cell>
          <cell r="BE424">
            <v>1</v>
          </cell>
          <cell r="BG424" t="str">
            <v>1100</v>
          </cell>
        </row>
        <row r="425">
          <cell r="B425" t="str">
            <v>G072080106100200</v>
          </cell>
          <cell r="C425" t="str">
            <v>07.福島県</v>
          </cell>
          <cell r="D425" t="str">
            <v>208</v>
          </cell>
          <cell r="E425" t="str">
            <v>喜多方市</v>
          </cell>
          <cell r="F425" t="str">
            <v>01</v>
          </cell>
          <cell r="G425" t="str">
            <v>公共 単独</v>
          </cell>
          <cell r="H425" t="str">
            <v>公共下水道</v>
          </cell>
          <cell r="I425" t="str">
            <v>単独</v>
          </cell>
          <cell r="J425" t="str">
            <v>002</v>
          </cell>
          <cell r="K425" t="str">
            <v>塩川浄化センター</v>
          </cell>
          <cell r="M425" t="str">
            <v>1</v>
          </cell>
          <cell r="N425" t="str">
            <v>1</v>
          </cell>
          <cell r="Q425">
            <v>37408</v>
          </cell>
          <cell r="R425" t="str">
            <v>平成</v>
          </cell>
          <cell r="S425">
            <v>14</v>
          </cell>
          <cell r="T425">
            <v>6</v>
          </cell>
          <cell r="AB425">
            <v>20000</v>
          </cell>
          <cell r="AC425" t="str">
            <v>阿賀野川</v>
          </cell>
          <cell r="AD425" t="str">
            <v>Ａ</v>
          </cell>
          <cell r="AE425" t="str">
            <v>イ</v>
          </cell>
          <cell r="AF425">
            <v>15</v>
          </cell>
          <cell r="AK425" t="str">
            <v>日橋川</v>
          </cell>
          <cell r="AQ425" t="str">
            <v/>
          </cell>
          <cell r="AR425" t="str">
            <v>オキシディションディッチ法</v>
          </cell>
          <cell r="AS425" t="str">
            <v>0720801002</v>
          </cell>
          <cell r="AT425" t="str">
            <v/>
          </cell>
          <cell r="AU425" t="str">
            <v>10</v>
          </cell>
          <cell r="AV425" t="str">
            <v>10</v>
          </cell>
          <cell r="AW425">
            <v>0</v>
          </cell>
          <cell r="AX425">
            <v>0</v>
          </cell>
          <cell r="AY425">
            <v>0</v>
          </cell>
          <cell r="AZ425">
            <v>0</v>
          </cell>
          <cell r="BA425">
            <v>0</v>
          </cell>
          <cell r="BD425" t="str">
            <v/>
          </cell>
          <cell r="BE425">
            <v>1</v>
          </cell>
          <cell r="BG425" t="str">
            <v>1100</v>
          </cell>
        </row>
        <row r="426">
          <cell r="B426" t="str">
            <v>G072080206100300</v>
          </cell>
          <cell r="C426" t="str">
            <v>07.福島県</v>
          </cell>
          <cell r="D426" t="str">
            <v>208</v>
          </cell>
          <cell r="E426" t="str">
            <v>喜多方市</v>
          </cell>
          <cell r="F426" t="str">
            <v>02</v>
          </cell>
          <cell r="G426" t="str">
            <v>特環 単独</v>
          </cell>
          <cell r="H426" t="str">
            <v>特定環境保全公共下水道</v>
          </cell>
          <cell r="I426" t="str">
            <v>単独</v>
          </cell>
          <cell r="J426" t="str">
            <v>003</v>
          </cell>
          <cell r="K426" t="str">
            <v>熱塩浄化センター</v>
          </cell>
          <cell r="M426" t="str">
            <v>1</v>
          </cell>
          <cell r="N426" t="str">
            <v>1</v>
          </cell>
          <cell r="Q426">
            <v>37681</v>
          </cell>
          <cell r="R426" t="str">
            <v>平成</v>
          </cell>
          <cell r="S426">
            <v>15</v>
          </cell>
          <cell r="T426">
            <v>3</v>
          </cell>
          <cell r="AB426">
            <v>6235</v>
          </cell>
          <cell r="AC426" t="str">
            <v>阿賀野川水系濁川</v>
          </cell>
          <cell r="AD426" t="str">
            <v>Ａ</v>
          </cell>
          <cell r="AE426" t="str">
            <v>イ</v>
          </cell>
          <cell r="AF426">
            <v>15</v>
          </cell>
          <cell r="AK426" t="str">
            <v>押切川</v>
          </cell>
          <cell r="AM426">
            <v>6</v>
          </cell>
          <cell r="AO426" t="str">
            <v>喜多方市</v>
          </cell>
          <cell r="AQ426" t="str">
            <v/>
          </cell>
          <cell r="AR426" t="str">
            <v>オキシディションディッチ法</v>
          </cell>
          <cell r="AS426" t="str">
            <v>0720802003</v>
          </cell>
          <cell r="AT426" t="str">
            <v/>
          </cell>
          <cell r="AU426" t="str">
            <v>10</v>
          </cell>
          <cell r="AV426" t="str">
            <v>10</v>
          </cell>
          <cell r="AW426">
            <v>0</v>
          </cell>
          <cell r="AX426">
            <v>0</v>
          </cell>
          <cell r="AY426">
            <v>0</v>
          </cell>
          <cell r="AZ426">
            <v>0</v>
          </cell>
          <cell r="BA426">
            <v>0</v>
          </cell>
          <cell r="BD426" t="str">
            <v/>
          </cell>
          <cell r="BE426">
            <v>1</v>
          </cell>
          <cell r="BG426" t="str">
            <v>1100</v>
          </cell>
        </row>
        <row r="427">
          <cell r="B427" t="str">
            <v>G072080206100400</v>
          </cell>
          <cell r="C427" t="str">
            <v>07.福島県</v>
          </cell>
          <cell r="D427" t="str">
            <v>208</v>
          </cell>
          <cell r="E427" t="str">
            <v>喜多方市</v>
          </cell>
          <cell r="F427" t="str">
            <v>02</v>
          </cell>
          <cell r="G427" t="str">
            <v>特環 単独</v>
          </cell>
          <cell r="H427" t="str">
            <v>特定環境保全公共下水道</v>
          </cell>
          <cell r="I427" t="str">
            <v>単独</v>
          </cell>
          <cell r="J427" t="str">
            <v>004</v>
          </cell>
          <cell r="K427" t="str">
            <v>山都浄化センター</v>
          </cell>
          <cell r="M427" t="str">
            <v>1</v>
          </cell>
          <cell r="N427" t="str">
            <v>1</v>
          </cell>
          <cell r="Q427">
            <v>38412</v>
          </cell>
          <cell r="R427" t="str">
            <v>平成</v>
          </cell>
          <cell r="S427">
            <v>17</v>
          </cell>
          <cell r="T427">
            <v>3</v>
          </cell>
          <cell r="AB427">
            <v>4232</v>
          </cell>
          <cell r="AC427" t="str">
            <v>阿賀野川</v>
          </cell>
          <cell r="AD427" t="str">
            <v>Ａ</v>
          </cell>
          <cell r="AE427" t="str">
            <v>ハ</v>
          </cell>
          <cell r="AF427">
            <v>15</v>
          </cell>
          <cell r="AI427" t="str">
            <v>広川口排水路</v>
          </cell>
          <cell r="AL427" t="str">
            <v>一ノ戸川</v>
          </cell>
          <cell r="AO427" t="str">
            <v>喜多方市</v>
          </cell>
          <cell r="AQ427" t="str">
            <v/>
          </cell>
          <cell r="AR427" t="str">
            <v>オキシディションディッチ法</v>
          </cell>
          <cell r="AS427" t="str">
            <v>0720802004</v>
          </cell>
          <cell r="AT427" t="str">
            <v/>
          </cell>
          <cell r="AU427" t="str">
            <v>10</v>
          </cell>
          <cell r="AV427" t="str">
            <v>10</v>
          </cell>
          <cell r="AW427">
            <v>0</v>
          </cell>
          <cell r="AX427">
            <v>0</v>
          </cell>
          <cell r="AY427">
            <v>0</v>
          </cell>
          <cell r="AZ427">
            <v>0</v>
          </cell>
          <cell r="BA427">
            <v>0</v>
          </cell>
          <cell r="BD427" t="str">
            <v/>
          </cell>
          <cell r="BE427">
            <v>1</v>
          </cell>
          <cell r="BG427" t="str">
            <v>1100</v>
          </cell>
        </row>
        <row r="428">
          <cell r="B428" t="str">
            <v>G072090106100100</v>
          </cell>
          <cell r="C428" t="str">
            <v>07.福島県</v>
          </cell>
          <cell r="D428" t="str">
            <v>209</v>
          </cell>
          <cell r="E428" t="str">
            <v>相馬市</v>
          </cell>
          <cell r="F428" t="str">
            <v>01</v>
          </cell>
          <cell r="G428" t="str">
            <v>公共 単独</v>
          </cell>
          <cell r="H428" t="str">
            <v>公共下水道</v>
          </cell>
          <cell r="I428" t="str">
            <v>単独</v>
          </cell>
          <cell r="J428" t="str">
            <v>001</v>
          </cell>
          <cell r="K428" t="str">
            <v>相馬市下水処理場</v>
          </cell>
          <cell r="M428" t="str">
            <v>1</v>
          </cell>
          <cell r="N428" t="str">
            <v>1</v>
          </cell>
          <cell r="Q428">
            <v>32964</v>
          </cell>
          <cell r="R428" t="str">
            <v>平成</v>
          </cell>
          <cell r="S428">
            <v>2</v>
          </cell>
          <cell r="T428">
            <v>4</v>
          </cell>
          <cell r="AB428">
            <v>73130</v>
          </cell>
          <cell r="AC428" t="str">
            <v>設定なし</v>
          </cell>
          <cell r="AF428">
            <v>15</v>
          </cell>
          <cell r="AJ428" t="str">
            <v>地蔵川</v>
          </cell>
          <cell r="AQ428" t="str">
            <v/>
          </cell>
          <cell r="AR428" t="str">
            <v>標準活性汚泥法</v>
          </cell>
          <cell r="AS428" t="str">
            <v>0720901001</v>
          </cell>
          <cell r="AT428" t="str">
            <v/>
          </cell>
          <cell r="AU428" t="str">
            <v>10</v>
          </cell>
          <cell r="AV428" t="str">
            <v>10</v>
          </cell>
          <cell r="AW428">
            <v>0</v>
          </cell>
          <cell r="AX428">
            <v>0</v>
          </cell>
          <cell r="AY428">
            <v>0</v>
          </cell>
          <cell r="AZ428">
            <v>0</v>
          </cell>
          <cell r="BA428">
            <v>0</v>
          </cell>
          <cell r="BD428" t="str">
            <v/>
          </cell>
          <cell r="BE428">
            <v>1</v>
          </cell>
          <cell r="BG428" t="str">
            <v>1100</v>
          </cell>
        </row>
        <row r="429">
          <cell r="B429" t="str">
            <v>G072100206100100</v>
          </cell>
          <cell r="C429" t="str">
            <v>07.福島県</v>
          </cell>
          <cell r="D429" t="str">
            <v>210</v>
          </cell>
          <cell r="E429" t="str">
            <v>二本松市</v>
          </cell>
          <cell r="F429" t="str">
            <v>02</v>
          </cell>
          <cell r="G429" t="str">
            <v>特環 単独</v>
          </cell>
          <cell r="H429" t="str">
            <v>特定環境保全公共下水道</v>
          </cell>
          <cell r="I429" t="str">
            <v>単独</v>
          </cell>
          <cell r="J429" t="str">
            <v>001</v>
          </cell>
          <cell r="K429" t="str">
            <v>岩代せせらぎセンター</v>
          </cell>
          <cell r="M429" t="str">
            <v>1</v>
          </cell>
          <cell r="Q429">
            <v>38078</v>
          </cell>
          <cell r="R429" t="str">
            <v>平成</v>
          </cell>
          <cell r="S429">
            <v>16</v>
          </cell>
          <cell r="T429">
            <v>4</v>
          </cell>
          <cell r="AB429">
            <v>8300</v>
          </cell>
          <cell r="AC429" t="str">
            <v>阿武隈川</v>
          </cell>
          <cell r="AD429" t="str">
            <v>Ｂ</v>
          </cell>
          <cell r="AE429" t="str">
            <v>ロ</v>
          </cell>
          <cell r="AF429">
            <v>15</v>
          </cell>
          <cell r="AK429" t="str">
            <v>移川</v>
          </cell>
          <cell r="AQ429" t="str">
            <v/>
          </cell>
          <cell r="AR429" t="str">
            <v>オキシディションディッチ法</v>
          </cell>
          <cell r="AS429" t="str">
            <v>0721002001</v>
          </cell>
          <cell r="AT429">
            <v>1</v>
          </cell>
          <cell r="AU429" t="str">
            <v>00</v>
          </cell>
          <cell r="AV429" t="str">
            <v>00</v>
          </cell>
          <cell r="AW429">
            <v>0</v>
          </cell>
          <cell r="AX429">
            <v>0</v>
          </cell>
          <cell r="AY429">
            <v>0</v>
          </cell>
          <cell r="AZ429">
            <v>0</v>
          </cell>
          <cell r="BA429">
            <v>0</v>
          </cell>
          <cell r="BD429" t="str">
            <v/>
          </cell>
          <cell r="BE429">
            <v>1</v>
          </cell>
          <cell r="BG429" t="str">
            <v>1000</v>
          </cell>
        </row>
        <row r="430">
          <cell r="B430" t="str">
            <v>G072100206100200</v>
          </cell>
          <cell r="C430" t="str">
            <v>07.福島県</v>
          </cell>
          <cell r="D430" t="str">
            <v>210</v>
          </cell>
          <cell r="E430" t="str">
            <v>二本松市</v>
          </cell>
          <cell r="F430" t="str">
            <v>02</v>
          </cell>
          <cell r="G430" t="str">
            <v>特環 単独</v>
          </cell>
          <cell r="H430" t="str">
            <v>特定環境保全公共下水道</v>
          </cell>
          <cell r="I430" t="str">
            <v>単独</v>
          </cell>
          <cell r="J430" t="str">
            <v>002</v>
          </cell>
          <cell r="K430" t="str">
            <v>岳せせらぎセンター</v>
          </cell>
          <cell r="M430" t="str">
            <v>1</v>
          </cell>
          <cell r="Q430">
            <v>38078</v>
          </cell>
          <cell r="R430" t="str">
            <v>平成</v>
          </cell>
          <cell r="S430">
            <v>16</v>
          </cell>
          <cell r="T430">
            <v>4</v>
          </cell>
          <cell r="AB430">
            <v>7160</v>
          </cell>
          <cell r="AC430" t="str">
            <v>阿武隈川</v>
          </cell>
          <cell r="AD430" t="str">
            <v>Ｂ</v>
          </cell>
          <cell r="AE430" t="str">
            <v>ロ</v>
          </cell>
          <cell r="AF430">
            <v>15</v>
          </cell>
          <cell r="AI430" t="str">
            <v>農業排水路</v>
          </cell>
          <cell r="AQ430" t="str">
            <v/>
          </cell>
          <cell r="AR430" t="str">
            <v>オキシディションディッチ法</v>
          </cell>
          <cell r="AS430" t="str">
            <v>0721002002</v>
          </cell>
          <cell r="AT430">
            <v>1</v>
          </cell>
          <cell r="AU430" t="str">
            <v>00</v>
          </cell>
          <cell r="AV430" t="str">
            <v>00</v>
          </cell>
          <cell r="AW430">
            <v>0</v>
          </cell>
          <cell r="AX430">
            <v>0</v>
          </cell>
          <cell r="AY430">
            <v>0</v>
          </cell>
          <cell r="AZ430">
            <v>0</v>
          </cell>
          <cell r="BA430">
            <v>0</v>
          </cell>
          <cell r="BD430" t="str">
            <v/>
          </cell>
          <cell r="BE430">
            <v>1</v>
          </cell>
          <cell r="BG430" t="str">
            <v>1000</v>
          </cell>
        </row>
        <row r="431">
          <cell r="B431" t="str">
            <v>G072120106100100</v>
          </cell>
          <cell r="C431" t="str">
            <v>07.福島県</v>
          </cell>
          <cell r="D431" t="str">
            <v>212</v>
          </cell>
          <cell r="E431" t="str">
            <v>南相馬市</v>
          </cell>
          <cell r="F431" t="str">
            <v>01</v>
          </cell>
          <cell r="G431" t="str">
            <v>公共 単独</v>
          </cell>
          <cell r="H431" t="str">
            <v>公共下水道</v>
          </cell>
          <cell r="I431" t="str">
            <v>単独</v>
          </cell>
          <cell r="J431" t="str">
            <v>001</v>
          </cell>
          <cell r="K431" t="str">
            <v>原町第一下水処理場</v>
          </cell>
          <cell r="M431" t="str">
            <v>1</v>
          </cell>
          <cell r="N431" t="str">
            <v>1</v>
          </cell>
          <cell r="P431" t="str">
            <v>1</v>
          </cell>
          <cell r="Q431">
            <v>26755</v>
          </cell>
          <cell r="R431" t="str">
            <v>昭和</v>
          </cell>
          <cell r="S431">
            <v>48</v>
          </cell>
          <cell r="T431">
            <v>4</v>
          </cell>
          <cell r="AB431">
            <v>22000</v>
          </cell>
          <cell r="AC431" t="str">
            <v>新田川</v>
          </cell>
          <cell r="AD431" t="str">
            <v>Ａ</v>
          </cell>
          <cell r="AE431" t="str">
            <v>イ</v>
          </cell>
          <cell r="AF431">
            <v>15</v>
          </cell>
          <cell r="AJ431" t="str">
            <v>新田川</v>
          </cell>
          <cell r="AL431" t="str">
            <v>大谷第６水源</v>
          </cell>
          <cell r="AM431">
            <v>10.5</v>
          </cell>
          <cell r="AO431" t="str">
            <v>南相馬市</v>
          </cell>
          <cell r="AQ431" t="str">
            <v/>
          </cell>
          <cell r="AR431" t="str">
            <v>標準活性汚泥法</v>
          </cell>
          <cell r="AS431" t="str">
            <v>0721201001</v>
          </cell>
          <cell r="AT431" t="str">
            <v/>
          </cell>
          <cell r="AU431" t="str">
            <v>10</v>
          </cell>
          <cell r="AV431" t="str">
            <v>10</v>
          </cell>
          <cell r="AW431">
            <v>1</v>
          </cell>
          <cell r="AX431">
            <v>0</v>
          </cell>
          <cell r="AY431">
            <v>0</v>
          </cell>
          <cell r="AZ431">
            <v>0</v>
          </cell>
          <cell r="BA431">
            <v>0</v>
          </cell>
          <cell r="BD431" t="str">
            <v/>
          </cell>
          <cell r="BE431">
            <v>1</v>
          </cell>
          <cell r="BG431" t="str">
            <v>1101</v>
          </cell>
        </row>
        <row r="432">
          <cell r="B432" t="str">
            <v>G072120106100200</v>
          </cell>
          <cell r="C432" t="str">
            <v>07.福島県</v>
          </cell>
          <cell r="D432" t="str">
            <v>212</v>
          </cell>
          <cell r="E432" t="str">
            <v>南相馬市</v>
          </cell>
          <cell r="F432" t="str">
            <v>01</v>
          </cell>
          <cell r="G432" t="str">
            <v>公共 単独</v>
          </cell>
          <cell r="H432" t="str">
            <v>公共下水道</v>
          </cell>
          <cell r="I432" t="str">
            <v>単独</v>
          </cell>
          <cell r="J432" t="str">
            <v>002</v>
          </cell>
          <cell r="K432" t="str">
            <v>小高浄化センター</v>
          </cell>
          <cell r="M432" t="str">
            <v>1</v>
          </cell>
          <cell r="N432" t="str">
            <v>1</v>
          </cell>
          <cell r="Q432">
            <v>35521</v>
          </cell>
          <cell r="R432" t="str">
            <v>平成</v>
          </cell>
          <cell r="S432">
            <v>9</v>
          </cell>
          <cell r="T432">
            <v>4</v>
          </cell>
          <cell r="U432" t="str">
            <v>休止</v>
          </cell>
          <cell r="V432">
            <v>40613</v>
          </cell>
          <cell r="W432" t="str">
            <v>平成</v>
          </cell>
          <cell r="X432">
            <v>23</v>
          </cell>
          <cell r="Y432">
            <v>3</v>
          </cell>
          <cell r="AB432">
            <v>22000</v>
          </cell>
          <cell r="AF432">
            <v>15</v>
          </cell>
          <cell r="AJ432" t="str">
            <v>新川</v>
          </cell>
          <cell r="AQ432" t="str">
            <v>休止</v>
          </cell>
          <cell r="AR432" t="str">
            <v/>
          </cell>
          <cell r="AS432" t="str">
            <v>0721201002</v>
          </cell>
          <cell r="AT432" t="str">
            <v/>
          </cell>
          <cell r="AU432" t="str">
            <v>10</v>
          </cell>
          <cell r="AV432" t="str">
            <v>10</v>
          </cell>
          <cell r="AW432">
            <v>0</v>
          </cell>
          <cell r="AX432">
            <v>0</v>
          </cell>
          <cell r="AY432">
            <v>0</v>
          </cell>
          <cell r="AZ432">
            <v>0</v>
          </cell>
          <cell r="BA432">
            <v>0</v>
          </cell>
          <cell r="BD432" t="str">
            <v/>
          </cell>
          <cell r="BE432">
            <v>1</v>
          </cell>
          <cell r="BG432">
            <v>5555</v>
          </cell>
        </row>
        <row r="433">
          <cell r="B433" t="str">
            <v>G072120106100300</v>
          </cell>
          <cell r="C433" t="str">
            <v>07.福島県</v>
          </cell>
          <cell r="D433" t="str">
            <v>212</v>
          </cell>
          <cell r="E433" t="str">
            <v>南相馬市</v>
          </cell>
          <cell r="F433" t="str">
            <v>01</v>
          </cell>
          <cell r="G433" t="str">
            <v>公共 単独</v>
          </cell>
          <cell r="H433" t="str">
            <v>公共下水道</v>
          </cell>
          <cell r="I433" t="str">
            <v>単独</v>
          </cell>
          <cell r="J433" t="str">
            <v>003</v>
          </cell>
          <cell r="K433" t="str">
            <v>鹿島浄化センター</v>
          </cell>
          <cell r="M433" t="str">
            <v>1</v>
          </cell>
          <cell r="N433" t="str">
            <v>1</v>
          </cell>
          <cell r="Q433">
            <v>36617</v>
          </cell>
          <cell r="R433" t="str">
            <v>平成</v>
          </cell>
          <cell r="S433">
            <v>12</v>
          </cell>
          <cell r="T433">
            <v>4</v>
          </cell>
          <cell r="AB433">
            <v>15000</v>
          </cell>
          <cell r="AC433" t="str">
            <v>真野川</v>
          </cell>
          <cell r="AD433" t="str">
            <v>Ａ</v>
          </cell>
          <cell r="AE433" t="str">
            <v>イ</v>
          </cell>
          <cell r="AF433">
            <v>15</v>
          </cell>
          <cell r="AJ433" t="str">
            <v>真野川</v>
          </cell>
          <cell r="AL433" t="str">
            <v>鹿島第一水源</v>
          </cell>
          <cell r="AM433">
            <v>4</v>
          </cell>
          <cell r="AO433" t="str">
            <v>相馬地方水道企業団</v>
          </cell>
          <cell r="AQ433" t="str">
            <v/>
          </cell>
          <cell r="AR433" t="str">
            <v>オキシディションディッチ法</v>
          </cell>
          <cell r="AS433" t="str">
            <v>0721201003</v>
          </cell>
          <cell r="AT433" t="str">
            <v/>
          </cell>
          <cell r="AU433" t="str">
            <v>10</v>
          </cell>
          <cell r="AV433" t="str">
            <v>10</v>
          </cell>
          <cell r="AW433">
            <v>0</v>
          </cell>
          <cell r="AX433">
            <v>0</v>
          </cell>
          <cell r="AY433">
            <v>0</v>
          </cell>
          <cell r="AZ433">
            <v>0</v>
          </cell>
          <cell r="BA433">
            <v>0</v>
          </cell>
          <cell r="BD433" t="str">
            <v/>
          </cell>
          <cell r="BE433">
            <v>1</v>
          </cell>
          <cell r="BG433" t="str">
            <v>1100</v>
          </cell>
        </row>
        <row r="434">
          <cell r="B434" t="str">
            <v>G072120206100400</v>
          </cell>
          <cell r="C434" t="str">
            <v>07.福島県</v>
          </cell>
          <cell r="D434" t="str">
            <v>212</v>
          </cell>
          <cell r="E434" t="str">
            <v>南相馬市</v>
          </cell>
          <cell r="F434" t="str">
            <v>02</v>
          </cell>
          <cell r="G434" t="str">
            <v>特環 単独</v>
          </cell>
          <cell r="H434" t="str">
            <v>特定環境保全公共下水道</v>
          </cell>
          <cell r="I434" t="str">
            <v>単独</v>
          </cell>
          <cell r="J434" t="str">
            <v>004</v>
          </cell>
          <cell r="K434" t="str">
            <v>高松浄化センター</v>
          </cell>
          <cell r="M434" t="str">
            <v>1</v>
          </cell>
          <cell r="N434" t="str">
            <v>1</v>
          </cell>
          <cell r="Q434">
            <v>33329</v>
          </cell>
          <cell r="R434" t="str">
            <v>平成</v>
          </cell>
          <cell r="S434">
            <v>3</v>
          </cell>
          <cell r="T434">
            <v>4</v>
          </cell>
          <cell r="AB434">
            <v>2780</v>
          </cell>
          <cell r="AC434" t="str">
            <v>武須川</v>
          </cell>
          <cell r="AD434" t="str">
            <v>Ｂ</v>
          </cell>
          <cell r="AE434" t="str">
            <v>イ</v>
          </cell>
          <cell r="AF434">
            <v>15</v>
          </cell>
          <cell r="AI434" t="str">
            <v>武須川</v>
          </cell>
          <cell r="AJ434" t="str">
            <v>新田川</v>
          </cell>
          <cell r="AQ434" t="str">
            <v/>
          </cell>
          <cell r="AR434" t="str">
            <v>オキシディションディッチ法</v>
          </cell>
          <cell r="AS434" t="str">
            <v>0721202004</v>
          </cell>
          <cell r="AT434" t="str">
            <v/>
          </cell>
          <cell r="AU434" t="str">
            <v>10</v>
          </cell>
          <cell r="AV434" t="str">
            <v>10</v>
          </cell>
          <cell r="AW434">
            <v>0</v>
          </cell>
          <cell r="AX434">
            <v>0</v>
          </cell>
          <cell r="AY434">
            <v>0</v>
          </cell>
          <cell r="AZ434">
            <v>0</v>
          </cell>
          <cell r="BA434">
            <v>0</v>
          </cell>
          <cell r="BD434" t="str">
            <v/>
          </cell>
          <cell r="BE434">
            <v>1</v>
          </cell>
          <cell r="BG434" t="str">
            <v>1100</v>
          </cell>
        </row>
        <row r="435">
          <cell r="B435" t="str">
            <v>G073640206100100</v>
          </cell>
          <cell r="C435" t="str">
            <v>07.福島県</v>
          </cell>
          <cell r="D435" t="str">
            <v>364</v>
          </cell>
          <cell r="E435" t="str">
            <v>檜枝岐村</v>
          </cell>
          <cell r="F435" t="str">
            <v>02</v>
          </cell>
          <cell r="G435" t="str">
            <v>特環 単独</v>
          </cell>
          <cell r="H435" t="str">
            <v>特定環境保全公共下水道</v>
          </cell>
          <cell r="I435" t="str">
            <v>単独</v>
          </cell>
          <cell r="J435" t="str">
            <v>001</v>
          </cell>
          <cell r="K435" t="str">
            <v>檜枝岐村浄化センター</v>
          </cell>
          <cell r="M435" t="str">
            <v>1</v>
          </cell>
          <cell r="N435" t="str">
            <v>1</v>
          </cell>
          <cell r="Q435">
            <v>37235</v>
          </cell>
          <cell r="R435" t="str">
            <v>平成</v>
          </cell>
          <cell r="S435">
            <v>13</v>
          </cell>
          <cell r="T435">
            <v>12</v>
          </cell>
          <cell r="AB435">
            <v>4500</v>
          </cell>
          <cell r="AC435" t="str">
            <v>阿賀川</v>
          </cell>
          <cell r="AD435" t="str">
            <v>Ａ</v>
          </cell>
          <cell r="AE435" t="str">
            <v>イ</v>
          </cell>
          <cell r="AF435">
            <v>15</v>
          </cell>
          <cell r="AK435" t="str">
            <v>伊南川</v>
          </cell>
          <cell r="AQ435" t="str">
            <v/>
          </cell>
          <cell r="AR435" t="str">
            <v>オキシディションディッチ法</v>
          </cell>
          <cell r="AS435" t="str">
            <v>0736402001</v>
          </cell>
          <cell r="AT435" t="str">
            <v/>
          </cell>
          <cell r="AU435" t="str">
            <v>10</v>
          </cell>
          <cell r="AV435" t="str">
            <v>10</v>
          </cell>
          <cell r="AW435">
            <v>0</v>
          </cell>
          <cell r="AX435">
            <v>0</v>
          </cell>
          <cell r="AY435">
            <v>0</v>
          </cell>
          <cell r="AZ435">
            <v>0</v>
          </cell>
          <cell r="BA435">
            <v>0</v>
          </cell>
          <cell r="BD435" t="str">
            <v/>
          </cell>
          <cell r="BE435">
            <v>1</v>
          </cell>
          <cell r="BG435" t="str">
            <v>1100</v>
          </cell>
        </row>
        <row r="436">
          <cell r="B436" t="str">
            <v>G073680106100100</v>
          </cell>
          <cell r="C436" t="str">
            <v>07.福島県</v>
          </cell>
          <cell r="D436" t="str">
            <v>368</v>
          </cell>
          <cell r="E436" t="str">
            <v>南会津町</v>
          </cell>
          <cell r="F436" t="str">
            <v>01</v>
          </cell>
          <cell r="G436" t="str">
            <v>公共 単独</v>
          </cell>
          <cell r="H436" t="str">
            <v>公共下水道</v>
          </cell>
          <cell r="I436" t="str">
            <v>単独</v>
          </cell>
          <cell r="J436" t="str">
            <v>001</v>
          </cell>
          <cell r="K436" t="str">
            <v>田島都市環境センター</v>
          </cell>
          <cell r="M436" t="str">
            <v>1</v>
          </cell>
          <cell r="N436" t="str">
            <v>1</v>
          </cell>
          <cell r="Q436">
            <v>36100</v>
          </cell>
          <cell r="R436" t="str">
            <v>平成</v>
          </cell>
          <cell r="S436">
            <v>10</v>
          </cell>
          <cell r="T436">
            <v>11</v>
          </cell>
          <cell r="AB436">
            <v>19000</v>
          </cell>
          <cell r="AC436" t="str">
            <v>阿賀川</v>
          </cell>
          <cell r="AD436" t="str">
            <v>Ａ</v>
          </cell>
          <cell r="AE436" t="str">
            <v>イ</v>
          </cell>
          <cell r="AF436">
            <v>15</v>
          </cell>
          <cell r="AH436">
            <v>3</v>
          </cell>
          <cell r="AK436" t="str">
            <v>阿賀川</v>
          </cell>
          <cell r="AL436" t="str">
            <v>大戸</v>
          </cell>
          <cell r="AN436">
            <v>30</v>
          </cell>
          <cell r="AO436" t="str">
            <v>会津若松市</v>
          </cell>
          <cell r="AQ436" t="str">
            <v/>
          </cell>
          <cell r="AR436" t="str">
            <v>オキシディションディッチ法</v>
          </cell>
          <cell r="AS436" t="str">
            <v>0736801001</v>
          </cell>
          <cell r="AT436" t="str">
            <v/>
          </cell>
          <cell r="AU436" t="str">
            <v>10</v>
          </cell>
          <cell r="AV436" t="str">
            <v>10</v>
          </cell>
          <cell r="AW436">
            <v>0</v>
          </cell>
          <cell r="AX436">
            <v>0</v>
          </cell>
          <cell r="AY436">
            <v>0</v>
          </cell>
          <cell r="AZ436">
            <v>0</v>
          </cell>
          <cell r="BA436">
            <v>0</v>
          </cell>
          <cell r="BD436" t="str">
            <v/>
          </cell>
          <cell r="BE436">
            <v>1</v>
          </cell>
          <cell r="BG436" t="str">
            <v>1100</v>
          </cell>
        </row>
        <row r="437">
          <cell r="B437" t="str">
            <v>G073680206100200</v>
          </cell>
          <cell r="C437" t="str">
            <v>07.福島県</v>
          </cell>
          <cell r="D437" t="str">
            <v>368</v>
          </cell>
          <cell r="E437" t="str">
            <v>南会津町</v>
          </cell>
          <cell r="F437" t="str">
            <v>02</v>
          </cell>
          <cell r="G437" t="str">
            <v>特環 単独</v>
          </cell>
          <cell r="H437" t="str">
            <v>特定環境保全公共下水道</v>
          </cell>
          <cell r="I437" t="str">
            <v>単独</v>
          </cell>
          <cell r="J437" t="str">
            <v>002</v>
          </cell>
          <cell r="K437" t="str">
            <v>南郷浄化センター</v>
          </cell>
          <cell r="M437" t="str">
            <v>1</v>
          </cell>
          <cell r="N437" t="str">
            <v>1</v>
          </cell>
          <cell r="Q437">
            <v>36951</v>
          </cell>
          <cell r="R437" t="str">
            <v>平成</v>
          </cell>
          <cell r="S437">
            <v>13</v>
          </cell>
          <cell r="T437">
            <v>3</v>
          </cell>
          <cell r="AB437">
            <v>26247</v>
          </cell>
          <cell r="AC437" t="str">
            <v>伊南川</v>
          </cell>
          <cell r="AD437" t="str">
            <v>Ａ</v>
          </cell>
          <cell r="AE437" t="str">
            <v>イ</v>
          </cell>
          <cell r="AF437">
            <v>15</v>
          </cell>
          <cell r="AI437" t="str">
            <v>不動沢</v>
          </cell>
          <cell r="AL437" t="str">
            <v>萩野簡易水道</v>
          </cell>
          <cell r="AN437">
            <v>91</v>
          </cell>
          <cell r="AO437" t="str">
            <v>喜多方市</v>
          </cell>
          <cell r="AQ437" t="str">
            <v/>
          </cell>
          <cell r="AR437" t="str">
            <v>オキシディションディッチ法</v>
          </cell>
          <cell r="AS437" t="str">
            <v>0736802002</v>
          </cell>
          <cell r="AT437" t="str">
            <v/>
          </cell>
          <cell r="AU437" t="str">
            <v>10</v>
          </cell>
          <cell r="AV437" t="str">
            <v>10</v>
          </cell>
          <cell r="AW437">
            <v>0</v>
          </cell>
          <cell r="AX437">
            <v>0</v>
          </cell>
          <cell r="AY437">
            <v>0</v>
          </cell>
          <cell r="AZ437">
            <v>0</v>
          </cell>
          <cell r="BA437">
            <v>0</v>
          </cell>
          <cell r="BD437" t="str">
            <v/>
          </cell>
          <cell r="BE437">
            <v>1</v>
          </cell>
          <cell r="BG437" t="str">
            <v>1100</v>
          </cell>
        </row>
        <row r="438">
          <cell r="B438" t="str">
            <v>G074020206100100</v>
          </cell>
          <cell r="C438" t="str">
            <v>07.福島県</v>
          </cell>
          <cell r="D438" t="str">
            <v>402</v>
          </cell>
          <cell r="E438" t="str">
            <v>北塩原村</v>
          </cell>
          <cell r="F438" t="str">
            <v>02</v>
          </cell>
          <cell r="G438" t="str">
            <v>特環 単独</v>
          </cell>
          <cell r="H438" t="str">
            <v>特定環境保全公共下水道</v>
          </cell>
          <cell r="I438" t="str">
            <v>単独</v>
          </cell>
          <cell r="J438" t="str">
            <v>001</v>
          </cell>
          <cell r="K438" t="str">
            <v>裏磐梯浄化センター</v>
          </cell>
          <cell r="M438" t="str">
            <v>1</v>
          </cell>
          <cell r="N438" t="str">
            <v>1</v>
          </cell>
          <cell r="Q438">
            <v>35674</v>
          </cell>
          <cell r="R438" t="str">
            <v>平成</v>
          </cell>
          <cell r="S438">
            <v>9</v>
          </cell>
          <cell r="T438">
            <v>9</v>
          </cell>
          <cell r="AB438">
            <v>33386</v>
          </cell>
          <cell r="AC438" t="str">
            <v>猪苗代湖</v>
          </cell>
          <cell r="AD438" t="str">
            <v>Ａ-Ⅱ</v>
          </cell>
          <cell r="AF438">
            <v>20</v>
          </cell>
          <cell r="AG438">
            <v>15</v>
          </cell>
          <cell r="AH438">
            <v>1</v>
          </cell>
          <cell r="AK438" t="str">
            <v>長瀬川</v>
          </cell>
          <cell r="AP438" t="str">
            <v>ＢＯＤ認可値</v>
          </cell>
          <cell r="AQ438" t="str">
            <v/>
          </cell>
          <cell r="AR438" t="str">
            <v>オキシディションディッチ法</v>
          </cell>
          <cell r="AS438" t="str">
            <v>0740202001</v>
          </cell>
          <cell r="AT438" t="str">
            <v/>
          </cell>
          <cell r="AU438" t="str">
            <v>10</v>
          </cell>
          <cell r="AV438" t="str">
            <v>10</v>
          </cell>
          <cell r="AW438">
            <v>0</v>
          </cell>
          <cell r="AX438">
            <v>0</v>
          </cell>
          <cell r="AY438">
            <v>0</v>
          </cell>
          <cell r="AZ438">
            <v>0</v>
          </cell>
          <cell r="BA438">
            <v>0</v>
          </cell>
          <cell r="BD438" t="str">
            <v/>
          </cell>
          <cell r="BE438">
            <v>1</v>
          </cell>
          <cell r="BG438" t="str">
            <v>1100</v>
          </cell>
        </row>
        <row r="439">
          <cell r="B439" t="str">
            <v>G074020206100200</v>
          </cell>
          <cell r="C439" t="str">
            <v>07.福島県</v>
          </cell>
          <cell r="D439" t="str">
            <v>402</v>
          </cell>
          <cell r="E439" t="str">
            <v>北塩原村</v>
          </cell>
          <cell r="F439" t="str">
            <v>02</v>
          </cell>
          <cell r="G439" t="str">
            <v>特環 単独</v>
          </cell>
          <cell r="H439" t="str">
            <v>特定環境保全公共下水道</v>
          </cell>
          <cell r="I439" t="str">
            <v>単独</v>
          </cell>
          <cell r="J439" t="str">
            <v>002</v>
          </cell>
          <cell r="K439" t="str">
            <v>大塩浄化センター</v>
          </cell>
          <cell r="M439" t="str">
            <v>1</v>
          </cell>
          <cell r="N439" t="str">
            <v>1</v>
          </cell>
          <cell r="Q439">
            <v>37561</v>
          </cell>
          <cell r="R439" t="str">
            <v>平成</v>
          </cell>
          <cell r="S439">
            <v>14</v>
          </cell>
          <cell r="T439">
            <v>11</v>
          </cell>
          <cell r="AB439">
            <v>2635</v>
          </cell>
          <cell r="AF439">
            <v>20</v>
          </cell>
          <cell r="AK439" t="str">
            <v>大塩川</v>
          </cell>
          <cell r="AP439" t="str">
            <v>ＢＯＤ認可値</v>
          </cell>
          <cell r="AQ439" t="str">
            <v/>
          </cell>
          <cell r="AR439" t="str">
            <v>オキシディションディッチ法</v>
          </cell>
          <cell r="AS439" t="str">
            <v>0740202002</v>
          </cell>
          <cell r="AT439" t="str">
            <v/>
          </cell>
          <cell r="AU439" t="str">
            <v>10</v>
          </cell>
          <cell r="AV439" t="str">
            <v>10</v>
          </cell>
          <cell r="AW439">
            <v>0</v>
          </cell>
          <cell r="AX439">
            <v>0</v>
          </cell>
          <cell r="AY439">
            <v>0</v>
          </cell>
          <cell r="AZ439">
            <v>0</v>
          </cell>
          <cell r="BA439">
            <v>0</v>
          </cell>
          <cell r="BD439" t="str">
            <v/>
          </cell>
          <cell r="BE439">
            <v>1</v>
          </cell>
          <cell r="BG439" t="str">
            <v>1100</v>
          </cell>
        </row>
        <row r="440">
          <cell r="B440" t="str">
            <v>G074020206100300</v>
          </cell>
          <cell r="C440" t="str">
            <v>07.福島県</v>
          </cell>
          <cell r="D440" t="str">
            <v>402</v>
          </cell>
          <cell r="E440" t="str">
            <v>北塩原村</v>
          </cell>
          <cell r="F440" t="str">
            <v>02</v>
          </cell>
          <cell r="G440" t="str">
            <v>特環 単独</v>
          </cell>
          <cell r="H440" t="str">
            <v>特定環境保全公共下水道</v>
          </cell>
          <cell r="I440" t="str">
            <v>単独</v>
          </cell>
          <cell r="J440" t="str">
            <v>003</v>
          </cell>
          <cell r="K440" t="str">
            <v>北山浄化センター</v>
          </cell>
          <cell r="M440" t="str">
            <v>1</v>
          </cell>
          <cell r="N440" t="str">
            <v>1</v>
          </cell>
          <cell r="Q440">
            <v>36220</v>
          </cell>
          <cell r="R440" t="str">
            <v>平成</v>
          </cell>
          <cell r="S440">
            <v>11</v>
          </cell>
          <cell r="T440">
            <v>3</v>
          </cell>
          <cell r="AB440">
            <v>2635</v>
          </cell>
          <cell r="AF440">
            <v>20</v>
          </cell>
          <cell r="AK440" t="str">
            <v>三の森川</v>
          </cell>
          <cell r="AP440" t="str">
            <v>ＢＯＤ認可値</v>
          </cell>
          <cell r="AQ440" t="str">
            <v/>
          </cell>
          <cell r="AR440" t="str">
            <v>オキシディションディッチ法</v>
          </cell>
          <cell r="AS440" t="str">
            <v>0740202003</v>
          </cell>
          <cell r="AT440" t="str">
            <v/>
          </cell>
          <cell r="AU440" t="str">
            <v>10</v>
          </cell>
          <cell r="AV440" t="str">
            <v>10</v>
          </cell>
          <cell r="AW440">
            <v>0</v>
          </cell>
          <cell r="AX440">
            <v>0</v>
          </cell>
          <cell r="AY440">
            <v>0</v>
          </cell>
          <cell r="AZ440">
            <v>0</v>
          </cell>
          <cell r="BA440">
            <v>0</v>
          </cell>
          <cell r="BD440" t="str">
            <v/>
          </cell>
          <cell r="BE440">
            <v>1</v>
          </cell>
          <cell r="BG440" t="str">
            <v>1100</v>
          </cell>
        </row>
        <row r="441">
          <cell r="B441" t="str">
            <v>G074050206100100</v>
          </cell>
          <cell r="C441" t="str">
            <v>07.福島県</v>
          </cell>
          <cell r="D441" t="str">
            <v>405</v>
          </cell>
          <cell r="E441" t="str">
            <v>西会津町</v>
          </cell>
          <cell r="F441" t="str">
            <v>02</v>
          </cell>
          <cell r="G441" t="str">
            <v>特環 単独</v>
          </cell>
          <cell r="H441" t="str">
            <v>特定環境保全公共下水道</v>
          </cell>
          <cell r="I441" t="str">
            <v>単独</v>
          </cell>
          <cell r="J441" t="str">
            <v>001</v>
          </cell>
          <cell r="K441" t="str">
            <v>野沢浄化センター</v>
          </cell>
          <cell r="M441" t="str">
            <v>1</v>
          </cell>
          <cell r="N441" t="str">
            <v>1</v>
          </cell>
          <cell r="Q441">
            <v>36617</v>
          </cell>
          <cell r="R441" t="str">
            <v>平成</v>
          </cell>
          <cell r="S441">
            <v>12</v>
          </cell>
          <cell r="T441">
            <v>4</v>
          </cell>
          <cell r="AB441">
            <v>11900</v>
          </cell>
          <cell r="AF441">
            <v>15</v>
          </cell>
          <cell r="AK441" t="str">
            <v>四岐川</v>
          </cell>
          <cell r="AQ441" t="str">
            <v/>
          </cell>
          <cell r="AR441" t="str">
            <v>オキシディションディッチ法</v>
          </cell>
          <cell r="AS441" t="str">
            <v>0740502001</v>
          </cell>
          <cell r="AT441" t="str">
            <v/>
          </cell>
          <cell r="AU441" t="str">
            <v>10</v>
          </cell>
          <cell r="AV441" t="str">
            <v>10</v>
          </cell>
          <cell r="AW441">
            <v>0</v>
          </cell>
          <cell r="AX441">
            <v>0</v>
          </cell>
          <cell r="AY441">
            <v>0</v>
          </cell>
          <cell r="AZ441">
            <v>0</v>
          </cell>
          <cell r="BA441">
            <v>0</v>
          </cell>
          <cell r="BD441" t="str">
            <v/>
          </cell>
          <cell r="BE441">
            <v>1</v>
          </cell>
          <cell r="BG441" t="str">
            <v>1100</v>
          </cell>
        </row>
        <row r="442">
          <cell r="B442" t="str">
            <v>G074050206100200</v>
          </cell>
          <cell r="C442" t="str">
            <v>07.福島県</v>
          </cell>
          <cell r="D442" t="str">
            <v>405</v>
          </cell>
          <cell r="E442" t="str">
            <v>西会津町</v>
          </cell>
          <cell r="F442" t="str">
            <v>02</v>
          </cell>
          <cell r="G442" t="str">
            <v>特環 単独</v>
          </cell>
          <cell r="H442" t="str">
            <v>特定環境保全公共下水道</v>
          </cell>
          <cell r="I442" t="str">
            <v>単独</v>
          </cell>
          <cell r="J442" t="str">
            <v>002</v>
          </cell>
          <cell r="K442" t="str">
            <v>大久保浄化センター</v>
          </cell>
          <cell r="M442" t="str">
            <v>1</v>
          </cell>
          <cell r="N442" t="str">
            <v>1</v>
          </cell>
          <cell r="Q442">
            <v>36982</v>
          </cell>
          <cell r="R442" t="str">
            <v>平成</v>
          </cell>
          <cell r="S442">
            <v>13</v>
          </cell>
          <cell r="T442">
            <v>4</v>
          </cell>
          <cell r="AB442">
            <v>5700</v>
          </cell>
          <cell r="AF442">
            <v>20</v>
          </cell>
          <cell r="AI442" t="str">
            <v>中野川</v>
          </cell>
          <cell r="AK442" t="str">
            <v>安座川</v>
          </cell>
          <cell r="AM442">
            <v>2</v>
          </cell>
          <cell r="AO442" t="str">
            <v>西会津町</v>
          </cell>
          <cell r="AP442" t="str">
            <v>ＢＯＤ認可値</v>
          </cell>
          <cell r="AQ442" t="str">
            <v/>
          </cell>
          <cell r="AR442" t="str">
            <v>オキシディションディッチ法</v>
          </cell>
          <cell r="AS442" t="str">
            <v>0740502002</v>
          </cell>
          <cell r="AT442" t="str">
            <v/>
          </cell>
          <cell r="AU442" t="str">
            <v>10</v>
          </cell>
          <cell r="AV442" t="str">
            <v>10</v>
          </cell>
          <cell r="AW442">
            <v>0</v>
          </cell>
          <cell r="AX442">
            <v>0</v>
          </cell>
          <cell r="AY442">
            <v>0</v>
          </cell>
          <cell r="AZ442">
            <v>0</v>
          </cell>
          <cell r="BA442">
            <v>0</v>
          </cell>
          <cell r="BD442" t="str">
            <v/>
          </cell>
          <cell r="BE442">
            <v>1</v>
          </cell>
          <cell r="BG442" t="str">
            <v>1100</v>
          </cell>
        </row>
        <row r="443">
          <cell r="B443" t="str">
            <v>G074070206100100</v>
          </cell>
          <cell r="C443" t="str">
            <v>07.福島県</v>
          </cell>
          <cell r="D443" t="str">
            <v>407</v>
          </cell>
          <cell r="E443" t="str">
            <v>磐梯町</v>
          </cell>
          <cell r="F443" t="str">
            <v>02</v>
          </cell>
          <cell r="G443" t="str">
            <v>特環 単独</v>
          </cell>
          <cell r="H443" t="str">
            <v>特定環境保全公共下水道</v>
          </cell>
          <cell r="I443" t="str">
            <v>単独</v>
          </cell>
          <cell r="J443" t="str">
            <v>001</v>
          </cell>
          <cell r="K443" t="str">
            <v>磐梯環境浄化センター</v>
          </cell>
          <cell r="M443" t="str">
            <v>1</v>
          </cell>
          <cell r="N443" t="str">
            <v>1</v>
          </cell>
          <cell r="Q443">
            <v>36342</v>
          </cell>
          <cell r="R443" t="str">
            <v>平成</v>
          </cell>
          <cell r="S443">
            <v>11</v>
          </cell>
          <cell r="T443">
            <v>7</v>
          </cell>
          <cell r="AB443">
            <v>11963</v>
          </cell>
          <cell r="AF443">
            <v>21</v>
          </cell>
          <cell r="AK443" t="str">
            <v>大谷川</v>
          </cell>
          <cell r="AQ443" t="str">
            <v/>
          </cell>
          <cell r="AR443" t="str">
            <v>オキシディションディッチ法</v>
          </cell>
          <cell r="AS443" t="str">
            <v>0740702001</v>
          </cell>
          <cell r="AT443" t="str">
            <v/>
          </cell>
          <cell r="AU443" t="str">
            <v>10</v>
          </cell>
          <cell r="AV443" t="str">
            <v>10</v>
          </cell>
          <cell r="AW443">
            <v>0</v>
          </cell>
          <cell r="AX443">
            <v>0</v>
          </cell>
          <cell r="AY443">
            <v>0</v>
          </cell>
          <cell r="AZ443">
            <v>0</v>
          </cell>
          <cell r="BA443">
            <v>0</v>
          </cell>
          <cell r="BD443" t="str">
            <v/>
          </cell>
          <cell r="BE443">
            <v>1</v>
          </cell>
          <cell r="BG443" t="str">
            <v>1100</v>
          </cell>
        </row>
        <row r="444">
          <cell r="B444" t="str">
            <v>G074080106100100</v>
          </cell>
          <cell r="C444" t="str">
            <v>07.福島県</v>
          </cell>
          <cell r="D444" t="str">
            <v>408</v>
          </cell>
          <cell r="E444" t="str">
            <v>猪苗代町</v>
          </cell>
          <cell r="F444" t="str">
            <v>01</v>
          </cell>
          <cell r="G444" t="str">
            <v>公共 単独</v>
          </cell>
          <cell r="H444" t="str">
            <v>公共下水道</v>
          </cell>
          <cell r="I444" t="str">
            <v>単独</v>
          </cell>
          <cell r="J444" t="str">
            <v>001</v>
          </cell>
          <cell r="K444" t="str">
            <v>猪苗代浄化センター</v>
          </cell>
          <cell r="M444" t="str">
            <v>1</v>
          </cell>
          <cell r="N444" t="str">
            <v>1</v>
          </cell>
          <cell r="Q444">
            <v>32051</v>
          </cell>
          <cell r="R444" t="str">
            <v>昭和</v>
          </cell>
          <cell r="S444">
            <v>62</v>
          </cell>
          <cell r="T444">
            <v>10</v>
          </cell>
          <cell r="AB444">
            <v>50000</v>
          </cell>
          <cell r="AC444" t="str">
            <v>猪苗代湖</v>
          </cell>
          <cell r="AD444" t="str">
            <v>Ａ</v>
          </cell>
          <cell r="AE444" t="str">
            <v>イ</v>
          </cell>
          <cell r="AF444">
            <v>15</v>
          </cell>
          <cell r="AG444">
            <v>10</v>
          </cell>
          <cell r="AH444">
            <v>1</v>
          </cell>
          <cell r="AK444" t="str">
            <v>長瀬川</v>
          </cell>
          <cell r="AL444" t="str">
            <v>猪苗代湖</v>
          </cell>
          <cell r="AN444">
            <v>15</v>
          </cell>
          <cell r="AO444" t="str">
            <v>郡山市</v>
          </cell>
          <cell r="AQ444" t="str">
            <v/>
          </cell>
          <cell r="AR444" t="str">
            <v>高度処理オキシディションディッチ法</v>
          </cell>
          <cell r="AS444" t="str">
            <v>0740801001</v>
          </cell>
          <cell r="AT444" t="str">
            <v/>
          </cell>
          <cell r="AU444" t="str">
            <v>10</v>
          </cell>
          <cell r="AV444" t="str">
            <v>10</v>
          </cell>
          <cell r="AW444">
            <v>0</v>
          </cell>
          <cell r="AX444">
            <v>0</v>
          </cell>
          <cell r="AY444">
            <v>0</v>
          </cell>
          <cell r="AZ444">
            <v>0</v>
          </cell>
          <cell r="BA444">
            <v>0</v>
          </cell>
          <cell r="BD444" t="str">
            <v/>
          </cell>
          <cell r="BE444">
            <v>1</v>
          </cell>
          <cell r="BG444" t="str">
            <v>1100</v>
          </cell>
        </row>
        <row r="445">
          <cell r="B445" t="str">
            <v>G074080206100200</v>
          </cell>
          <cell r="C445" t="str">
            <v>07.福島県</v>
          </cell>
          <cell r="D445" t="str">
            <v>408</v>
          </cell>
          <cell r="E445" t="str">
            <v>猪苗代町</v>
          </cell>
          <cell r="F445" t="str">
            <v>02</v>
          </cell>
          <cell r="G445" t="str">
            <v>特環 単独</v>
          </cell>
          <cell r="H445" t="str">
            <v>特定環境保全公共下水道</v>
          </cell>
          <cell r="I445" t="str">
            <v>単独</v>
          </cell>
          <cell r="J445" t="str">
            <v>002</v>
          </cell>
          <cell r="K445" t="str">
            <v>志田浜浄化センター</v>
          </cell>
          <cell r="M445" t="str">
            <v>1</v>
          </cell>
          <cell r="N445" t="str">
            <v>1</v>
          </cell>
          <cell r="Q445">
            <v>33817</v>
          </cell>
          <cell r="R445" t="str">
            <v>平成</v>
          </cell>
          <cell r="S445">
            <v>4</v>
          </cell>
          <cell r="T445">
            <v>8</v>
          </cell>
          <cell r="AB445">
            <v>2500</v>
          </cell>
          <cell r="AC445" t="str">
            <v>猪苗代湖</v>
          </cell>
          <cell r="AD445" t="str">
            <v>Ａ</v>
          </cell>
          <cell r="AE445" t="str">
            <v>イ</v>
          </cell>
          <cell r="AF445">
            <v>15</v>
          </cell>
          <cell r="AG445">
            <v>20</v>
          </cell>
          <cell r="AH445">
            <v>1</v>
          </cell>
          <cell r="AI445" t="str">
            <v>小沢川</v>
          </cell>
          <cell r="AL445" t="str">
            <v>猪苗代湖</v>
          </cell>
          <cell r="AN445">
            <v>5</v>
          </cell>
          <cell r="AO445" t="str">
            <v>郡山市</v>
          </cell>
          <cell r="AQ445" t="str">
            <v/>
          </cell>
          <cell r="AR445" t="str">
            <v>高度処理オキシディションディッチ法</v>
          </cell>
          <cell r="AS445" t="str">
            <v>0740802002</v>
          </cell>
          <cell r="AT445" t="str">
            <v/>
          </cell>
          <cell r="AU445" t="str">
            <v>10</v>
          </cell>
          <cell r="AV445" t="str">
            <v>10</v>
          </cell>
          <cell r="AW445">
            <v>0</v>
          </cell>
          <cell r="AX445">
            <v>0</v>
          </cell>
          <cell r="AY445">
            <v>0</v>
          </cell>
          <cell r="AZ445">
            <v>0</v>
          </cell>
          <cell r="BA445">
            <v>0</v>
          </cell>
          <cell r="BD445" t="str">
            <v/>
          </cell>
          <cell r="BE445">
            <v>1</v>
          </cell>
          <cell r="BG445" t="str">
            <v>1100</v>
          </cell>
        </row>
        <row r="446">
          <cell r="B446" t="str">
            <v>G074080206100300</v>
          </cell>
          <cell r="C446" t="str">
            <v>07.福島県</v>
          </cell>
          <cell r="D446" t="str">
            <v>408</v>
          </cell>
          <cell r="E446" t="str">
            <v>猪苗代町</v>
          </cell>
          <cell r="F446" t="str">
            <v>02</v>
          </cell>
          <cell r="G446" t="str">
            <v>特環 単独</v>
          </cell>
          <cell r="H446" t="str">
            <v>特定環境保全公共下水道</v>
          </cell>
          <cell r="I446" t="str">
            <v>単独</v>
          </cell>
          <cell r="J446" t="str">
            <v>003</v>
          </cell>
          <cell r="K446" t="str">
            <v>中ノ沢浄化センター</v>
          </cell>
          <cell r="M446" t="str">
            <v>1</v>
          </cell>
          <cell r="N446" t="str">
            <v>1</v>
          </cell>
          <cell r="Q446">
            <v>37561</v>
          </cell>
          <cell r="R446" t="str">
            <v>平成</v>
          </cell>
          <cell r="S446">
            <v>14</v>
          </cell>
          <cell r="T446">
            <v>11</v>
          </cell>
          <cell r="AB446">
            <v>10800</v>
          </cell>
          <cell r="AC446" t="str">
            <v>猪苗代湖</v>
          </cell>
          <cell r="AD446" t="str">
            <v>Ａ</v>
          </cell>
          <cell r="AE446" t="str">
            <v>イ</v>
          </cell>
          <cell r="AF446">
            <v>15</v>
          </cell>
          <cell r="AG446">
            <v>15</v>
          </cell>
          <cell r="AH446">
            <v>1</v>
          </cell>
          <cell r="AK446" t="str">
            <v>酸川</v>
          </cell>
          <cell r="AL446" t="str">
            <v>猪苗代湖</v>
          </cell>
          <cell r="AN446">
            <v>20</v>
          </cell>
          <cell r="AO446" t="str">
            <v>郡山市</v>
          </cell>
          <cell r="AQ446" t="str">
            <v/>
          </cell>
          <cell r="AR446" t="str">
            <v>高度処理オキシディションディッチ法</v>
          </cell>
          <cell r="AS446" t="str">
            <v>0740802003</v>
          </cell>
          <cell r="AT446" t="str">
            <v/>
          </cell>
          <cell r="AU446" t="str">
            <v>10</v>
          </cell>
          <cell r="AV446" t="str">
            <v>10</v>
          </cell>
          <cell r="AW446">
            <v>0</v>
          </cell>
          <cell r="AX446">
            <v>0</v>
          </cell>
          <cell r="AY446">
            <v>0</v>
          </cell>
          <cell r="AZ446">
            <v>0</v>
          </cell>
          <cell r="BA446">
            <v>0</v>
          </cell>
          <cell r="BD446" t="str">
            <v/>
          </cell>
          <cell r="BE446">
            <v>1</v>
          </cell>
          <cell r="BG446" t="str">
            <v>1100</v>
          </cell>
        </row>
        <row r="447">
          <cell r="B447" t="str">
            <v>G074210106100100</v>
          </cell>
          <cell r="C447" t="str">
            <v>07.福島県</v>
          </cell>
          <cell r="D447" t="str">
            <v>421</v>
          </cell>
          <cell r="E447" t="str">
            <v>会津坂下町</v>
          </cell>
          <cell r="F447" t="str">
            <v>01</v>
          </cell>
          <cell r="G447" t="str">
            <v>公共 単独</v>
          </cell>
          <cell r="H447" t="str">
            <v>公共下水道</v>
          </cell>
          <cell r="I447" t="str">
            <v>単独</v>
          </cell>
          <cell r="J447" t="str">
            <v>001</v>
          </cell>
          <cell r="K447" t="str">
            <v>坂下西浄化センター</v>
          </cell>
          <cell r="M447" t="str">
            <v>1</v>
          </cell>
          <cell r="N447" t="str">
            <v>1</v>
          </cell>
          <cell r="Q447">
            <v>34060</v>
          </cell>
          <cell r="R447" t="str">
            <v>平成</v>
          </cell>
          <cell r="S447">
            <v>5</v>
          </cell>
          <cell r="T447">
            <v>4</v>
          </cell>
          <cell r="AB447">
            <v>2117</v>
          </cell>
          <cell r="AC447" t="str">
            <v>設定なし</v>
          </cell>
          <cell r="AF447">
            <v>15</v>
          </cell>
          <cell r="AI447" t="str">
            <v>旧宮川</v>
          </cell>
          <cell r="AK447" t="str">
            <v>阿賀川</v>
          </cell>
          <cell r="AQ447" t="str">
            <v/>
          </cell>
          <cell r="AR447" t="str">
            <v>土壌被覆型礫間接触法</v>
          </cell>
          <cell r="AS447" t="str">
            <v>0742101001</v>
          </cell>
          <cell r="AT447" t="str">
            <v/>
          </cell>
          <cell r="AU447" t="str">
            <v>10</v>
          </cell>
          <cell r="AV447" t="str">
            <v>10</v>
          </cell>
          <cell r="AW447">
            <v>0</v>
          </cell>
          <cell r="AX447">
            <v>0</v>
          </cell>
          <cell r="AY447">
            <v>0</v>
          </cell>
          <cell r="AZ447">
            <v>0</v>
          </cell>
          <cell r="BA447">
            <v>0</v>
          </cell>
          <cell r="BD447" t="str">
            <v/>
          </cell>
          <cell r="BE447">
            <v>1</v>
          </cell>
          <cell r="BG447" t="str">
            <v>1100</v>
          </cell>
        </row>
        <row r="448">
          <cell r="B448" t="str">
            <v>G074210106100200</v>
          </cell>
          <cell r="C448" t="str">
            <v>07.福島県</v>
          </cell>
          <cell r="D448" t="str">
            <v>421</v>
          </cell>
          <cell r="E448" t="str">
            <v>会津坂下町</v>
          </cell>
          <cell r="F448" t="str">
            <v>01</v>
          </cell>
          <cell r="G448" t="str">
            <v>公共 単独</v>
          </cell>
          <cell r="H448" t="str">
            <v>公共下水道</v>
          </cell>
          <cell r="I448" t="str">
            <v>単独</v>
          </cell>
          <cell r="J448" t="str">
            <v>002</v>
          </cell>
          <cell r="K448" t="str">
            <v>坂下東浄化センター</v>
          </cell>
          <cell r="M448" t="str">
            <v>1</v>
          </cell>
          <cell r="N448" t="str">
            <v>1</v>
          </cell>
          <cell r="Q448">
            <v>38078</v>
          </cell>
          <cell r="R448" t="str">
            <v>平成</v>
          </cell>
          <cell r="S448">
            <v>16</v>
          </cell>
          <cell r="T448">
            <v>4</v>
          </cell>
          <cell r="AB448">
            <v>4965</v>
          </cell>
          <cell r="AC448" t="str">
            <v>設定なし</v>
          </cell>
          <cell r="AF448">
            <v>15</v>
          </cell>
          <cell r="AI448" t="str">
            <v>旧宮川</v>
          </cell>
          <cell r="AK448" t="str">
            <v>阿賀川</v>
          </cell>
          <cell r="AQ448" t="str">
            <v/>
          </cell>
          <cell r="AR448" t="str">
            <v>土壌被覆型礫間接触法</v>
          </cell>
          <cell r="AS448" t="str">
            <v>0742101002</v>
          </cell>
          <cell r="AT448" t="str">
            <v/>
          </cell>
          <cell r="AU448" t="str">
            <v>10</v>
          </cell>
          <cell r="AV448" t="str">
            <v>10</v>
          </cell>
          <cell r="AW448">
            <v>0</v>
          </cell>
          <cell r="AX448">
            <v>0</v>
          </cell>
          <cell r="AY448">
            <v>0</v>
          </cell>
          <cell r="AZ448">
            <v>0</v>
          </cell>
          <cell r="BA448">
            <v>0</v>
          </cell>
          <cell r="BD448" t="str">
            <v/>
          </cell>
          <cell r="BE448">
            <v>1</v>
          </cell>
          <cell r="BG448" t="str">
            <v>1100</v>
          </cell>
        </row>
        <row r="449">
          <cell r="B449" t="str">
            <v>G074220206100100</v>
          </cell>
          <cell r="C449" t="str">
            <v>07.福島県</v>
          </cell>
          <cell r="D449" t="str">
            <v>422</v>
          </cell>
          <cell r="E449" t="str">
            <v>湯川村</v>
          </cell>
          <cell r="F449" t="str">
            <v>02</v>
          </cell>
          <cell r="G449" t="str">
            <v>特環 単独</v>
          </cell>
          <cell r="H449" t="str">
            <v>特定環境保全公共下水道</v>
          </cell>
          <cell r="I449" t="str">
            <v>単独</v>
          </cell>
          <cell r="J449" t="str">
            <v>001</v>
          </cell>
          <cell r="K449" t="str">
            <v>湯川浄化センター</v>
          </cell>
          <cell r="M449" t="str">
            <v>1</v>
          </cell>
          <cell r="N449" t="str">
            <v>1</v>
          </cell>
          <cell r="Q449">
            <v>37712</v>
          </cell>
          <cell r="R449" t="str">
            <v>平成</v>
          </cell>
          <cell r="S449">
            <v>15</v>
          </cell>
          <cell r="T449">
            <v>4</v>
          </cell>
          <cell r="AB449">
            <v>13193</v>
          </cell>
          <cell r="AC449" t="str">
            <v>阿賀野川</v>
          </cell>
          <cell r="AD449" t="str">
            <v>Ｂ</v>
          </cell>
          <cell r="AE449" t="str">
            <v>ロ</v>
          </cell>
          <cell r="AF449">
            <v>3</v>
          </cell>
          <cell r="AK449" t="str">
            <v>旧湯川</v>
          </cell>
          <cell r="AQ449" t="str">
            <v/>
          </cell>
          <cell r="AR449" t="str">
            <v>オキシディションディッチ法</v>
          </cell>
          <cell r="AS449" t="str">
            <v>0742202001</v>
          </cell>
          <cell r="AT449" t="str">
            <v/>
          </cell>
          <cell r="AU449" t="str">
            <v>10</v>
          </cell>
          <cell r="AV449" t="str">
            <v>10</v>
          </cell>
          <cell r="AW449">
            <v>0</v>
          </cell>
          <cell r="AX449">
            <v>0</v>
          </cell>
          <cell r="AY449">
            <v>0</v>
          </cell>
          <cell r="AZ449">
            <v>0</v>
          </cell>
          <cell r="BA449">
            <v>0</v>
          </cell>
          <cell r="BD449" t="str">
            <v/>
          </cell>
          <cell r="BE449">
            <v>1</v>
          </cell>
          <cell r="BG449" t="str">
            <v>1100</v>
          </cell>
        </row>
        <row r="450">
          <cell r="B450" t="str">
            <v>G074230206100100</v>
          </cell>
          <cell r="C450" t="str">
            <v>07.福島県</v>
          </cell>
          <cell r="D450" t="str">
            <v>423</v>
          </cell>
          <cell r="E450" t="str">
            <v>柳津町</v>
          </cell>
          <cell r="F450" t="str">
            <v>02</v>
          </cell>
          <cell r="G450" t="str">
            <v>特環 単独</v>
          </cell>
          <cell r="H450" t="str">
            <v>特定環境保全公共下水道</v>
          </cell>
          <cell r="I450" t="str">
            <v>単独</v>
          </cell>
          <cell r="J450" t="str">
            <v>001</v>
          </cell>
          <cell r="K450" t="str">
            <v>柳津浄化センター</v>
          </cell>
          <cell r="M450" t="str">
            <v>1</v>
          </cell>
          <cell r="N450" t="str">
            <v>1</v>
          </cell>
          <cell r="Q450">
            <v>37742</v>
          </cell>
          <cell r="R450" t="str">
            <v>平成</v>
          </cell>
          <cell r="S450">
            <v>15</v>
          </cell>
          <cell r="T450">
            <v>5</v>
          </cell>
          <cell r="AB450">
            <v>9041</v>
          </cell>
          <cell r="AC450" t="str">
            <v>阿賀野川流域</v>
          </cell>
          <cell r="AD450" t="str">
            <v>Ａ</v>
          </cell>
          <cell r="AE450" t="str">
            <v>イ</v>
          </cell>
          <cell r="AI450" t="str">
            <v>松沢</v>
          </cell>
          <cell r="AQ450" t="str">
            <v/>
          </cell>
          <cell r="AR450" t="str">
            <v>オキシディションディッチ法</v>
          </cell>
          <cell r="AS450" t="str">
            <v>0742302001</v>
          </cell>
          <cell r="AT450" t="str">
            <v/>
          </cell>
          <cell r="AU450" t="str">
            <v>10</v>
          </cell>
          <cell r="AV450" t="str">
            <v>10</v>
          </cell>
          <cell r="AW450">
            <v>0</v>
          </cell>
          <cell r="AX450">
            <v>0</v>
          </cell>
          <cell r="AY450">
            <v>0</v>
          </cell>
          <cell r="AZ450">
            <v>0</v>
          </cell>
          <cell r="BA450">
            <v>0</v>
          </cell>
          <cell r="BD450" t="str">
            <v/>
          </cell>
          <cell r="BE450">
            <v>1</v>
          </cell>
          <cell r="BG450" t="str">
            <v>1100</v>
          </cell>
        </row>
        <row r="451">
          <cell r="B451" t="str">
            <v>G074460206100100</v>
          </cell>
          <cell r="C451" t="str">
            <v>07.福島県</v>
          </cell>
          <cell r="D451" t="str">
            <v>446</v>
          </cell>
          <cell r="E451" t="str">
            <v>昭和村</v>
          </cell>
          <cell r="F451" t="str">
            <v>02</v>
          </cell>
          <cell r="G451" t="str">
            <v>特環 単独</v>
          </cell>
          <cell r="H451" t="str">
            <v>特定環境保全公共下水道</v>
          </cell>
          <cell r="I451" t="str">
            <v>単独</v>
          </cell>
          <cell r="J451" t="str">
            <v>001</v>
          </cell>
          <cell r="K451" t="str">
            <v>上昭和浄化センター</v>
          </cell>
          <cell r="M451" t="str">
            <v>1</v>
          </cell>
          <cell r="N451" t="str">
            <v>1</v>
          </cell>
          <cell r="Q451">
            <v>36951</v>
          </cell>
          <cell r="R451" t="str">
            <v>平成</v>
          </cell>
          <cell r="S451">
            <v>13</v>
          </cell>
          <cell r="T451">
            <v>3</v>
          </cell>
          <cell r="AB451">
            <v>4771</v>
          </cell>
          <cell r="AC451" t="str">
            <v>只見川</v>
          </cell>
          <cell r="AD451" t="str">
            <v>Ａ</v>
          </cell>
          <cell r="AE451" t="str">
            <v>イ</v>
          </cell>
          <cell r="AF451">
            <v>15</v>
          </cell>
          <cell r="AK451" t="str">
            <v>野尻川</v>
          </cell>
          <cell r="AM451">
            <v>11.5</v>
          </cell>
          <cell r="AQ451" t="str">
            <v/>
          </cell>
          <cell r="AR451" t="str">
            <v>オキシディションディッチ法</v>
          </cell>
          <cell r="AS451" t="str">
            <v>0744602001</v>
          </cell>
          <cell r="AT451" t="str">
            <v/>
          </cell>
          <cell r="AU451" t="str">
            <v>10</v>
          </cell>
          <cell r="AV451" t="str">
            <v>10</v>
          </cell>
          <cell r="AW451">
            <v>0</v>
          </cell>
          <cell r="AX451">
            <v>0</v>
          </cell>
          <cell r="AY451">
            <v>0</v>
          </cell>
          <cell r="AZ451">
            <v>0</v>
          </cell>
          <cell r="BA451">
            <v>0</v>
          </cell>
          <cell r="BD451" t="str">
            <v/>
          </cell>
          <cell r="BE451">
            <v>1</v>
          </cell>
          <cell r="BG451" t="str">
            <v>1100</v>
          </cell>
        </row>
        <row r="452">
          <cell r="B452" t="str">
            <v>G074470106100100</v>
          </cell>
          <cell r="C452" t="str">
            <v>07.福島県</v>
          </cell>
          <cell r="D452" t="str">
            <v>447</v>
          </cell>
          <cell r="E452" t="str">
            <v>会津美里町</v>
          </cell>
          <cell r="F452" t="str">
            <v>01</v>
          </cell>
          <cell r="G452" t="str">
            <v>公共 単独</v>
          </cell>
          <cell r="H452" t="str">
            <v>公共下水道</v>
          </cell>
          <cell r="I452" t="str">
            <v>単独</v>
          </cell>
          <cell r="J452" t="str">
            <v>001</v>
          </cell>
          <cell r="K452" t="str">
            <v>会津高田浄化センター</v>
          </cell>
          <cell r="M452" t="str">
            <v>1</v>
          </cell>
          <cell r="Q452">
            <v>38047</v>
          </cell>
          <cell r="R452" t="str">
            <v>平成</v>
          </cell>
          <cell r="S452">
            <v>16</v>
          </cell>
          <cell r="T452">
            <v>3</v>
          </cell>
          <cell r="AB452">
            <v>19939</v>
          </cell>
          <cell r="AC452" t="str">
            <v>阿賀野川</v>
          </cell>
          <cell r="AD452" t="str">
            <v>Ａ</v>
          </cell>
          <cell r="AE452" t="str">
            <v>イ</v>
          </cell>
          <cell r="AF452">
            <v>15</v>
          </cell>
          <cell r="AK452" t="str">
            <v>宮川</v>
          </cell>
          <cell r="AL452" t="str">
            <v>阿賀野川頭首工</v>
          </cell>
          <cell r="AN452">
            <v>50</v>
          </cell>
          <cell r="AO452" t="str">
            <v>阿賀野市</v>
          </cell>
          <cell r="AQ452" t="str">
            <v/>
          </cell>
          <cell r="AR452" t="str">
            <v>オキシディションディッチ法</v>
          </cell>
          <cell r="AS452" t="str">
            <v>0744701001</v>
          </cell>
          <cell r="AT452" t="str">
            <v/>
          </cell>
          <cell r="AU452" t="str">
            <v>00</v>
          </cell>
          <cell r="AV452" t="str">
            <v>00</v>
          </cell>
          <cell r="AW452">
            <v>0</v>
          </cell>
          <cell r="AX452">
            <v>0</v>
          </cell>
          <cell r="AY452">
            <v>0</v>
          </cell>
          <cell r="AZ452">
            <v>0</v>
          </cell>
          <cell r="BA452">
            <v>0</v>
          </cell>
          <cell r="BD452" t="str">
            <v/>
          </cell>
          <cell r="BE452">
            <v>1</v>
          </cell>
          <cell r="BG452" t="str">
            <v>1000</v>
          </cell>
        </row>
        <row r="453">
          <cell r="B453" t="str">
            <v>G074470106100200</v>
          </cell>
          <cell r="C453" t="str">
            <v>07.福島県</v>
          </cell>
          <cell r="D453" t="str">
            <v>447</v>
          </cell>
          <cell r="E453" t="str">
            <v>会津美里町</v>
          </cell>
          <cell r="F453" t="str">
            <v>01</v>
          </cell>
          <cell r="G453" t="str">
            <v>公共 単独</v>
          </cell>
          <cell r="H453" t="str">
            <v>公共下水道</v>
          </cell>
          <cell r="I453" t="str">
            <v>単独</v>
          </cell>
          <cell r="J453" t="str">
            <v>002</v>
          </cell>
          <cell r="K453" t="str">
            <v>会津本郷浄化センター</v>
          </cell>
          <cell r="M453" t="str">
            <v>1</v>
          </cell>
          <cell r="Q453">
            <v>38443</v>
          </cell>
          <cell r="R453" t="str">
            <v>平成</v>
          </cell>
          <cell r="S453">
            <v>17</v>
          </cell>
          <cell r="T453">
            <v>4</v>
          </cell>
          <cell r="AB453">
            <v>8960</v>
          </cell>
          <cell r="AC453" t="str">
            <v>阿賀野川</v>
          </cell>
          <cell r="AD453" t="str">
            <v>Ａ</v>
          </cell>
          <cell r="AE453" t="str">
            <v>イ</v>
          </cell>
          <cell r="AF453">
            <v>15</v>
          </cell>
          <cell r="AI453" t="str">
            <v>氷玉川</v>
          </cell>
          <cell r="AK453" t="str">
            <v>宮川</v>
          </cell>
          <cell r="AL453" t="str">
            <v>阿賀野川頭首工</v>
          </cell>
          <cell r="AN453">
            <v>56</v>
          </cell>
          <cell r="AO453" t="str">
            <v>阿賀野市</v>
          </cell>
          <cell r="AQ453" t="str">
            <v/>
          </cell>
          <cell r="AR453" t="str">
            <v>嫌気好気ろ床法</v>
          </cell>
          <cell r="AS453" t="str">
            <v>0744701002</v>
          </cell>
          <cell r="AT453" t="str">
            <v/>
          </cell>
          <cell r="AU453" t="str">
            <v>00</v>
          </cell>
          <cell r="AV453" t="str">
            <v>00</v>
          </cell>
          <cell r="AW453">
            <v>0</v>
          </cell>
          <cell r="AX453">
            <v>0</v>
          </cell>
          <cell r="AY453">
            <v>0</v>
          </cell>
          <cell r="AZ453">
            <v>0</v>
          </cell>
          <cell r="BA453">
            <v>0</v>
          </cell>
          <cell r="BD453" t="str">
            <v/>
          </cell>
          <cell r="BE453">
            <v>1</v>
          </cell>
          <cell r="BG453" t="str">
            <v>1000</v>
          </cell>
        </row>
        <row r="454">
          <cell r="B454" t="str">
            <v>G074610106100100</v>
          </cell>
          <cell r="C454" t="str">
            <v>07.福島県</v>
          </cell>
          <cell r="D454" t="str">
            <v>461</v>
          </cell>
          <cell r="E454" t="str">
            <v>西郷村</v>
          </cell>
          <cell r="F454" t="str">
            <v>01</v>
          </cell>
          <cell r="G454" t="str">
            <v>公共 単独</v>
          </cell>
          <cell r="H454" t="str">
            <v>公共下水道</v>
          </cell>
          <cell r="I454" t="str">
            <v>単独</v>
          </cell>
          <cell r="J454" t="str">
            <v>001</v>
          </cell>
          <cell r="K454" t="str">
            <v>大平浄化センター</v>
          </cell>
          <cell r="M454" t="str">
            <v>1</v>
          </cell>
          <cell r="N454" t="str">
            <v>1</v>
          </cell>
          <cell r="Q454">
            <v>34366</v>
          </cell>
          <cell r="R454" t="str">
            <v>平成</v>
          </cell>
          <cell r="S454">
            <v>6</v>
          </cell>
          <cell r="T454">
            <v>2</v>
          </cell>
          <cell r="AB454">
            <v>1929</v>
          </cell>
          <cell r="AF454">
            <v>20</v>
          </cell>
          <cell r="AI454" t="str">
            <v>藤野川</v>
          </cell>
          <cell r="AP454" t="str">
            <v>ＢＯＤ認可値</v>
          </cell>
          <cell r="AQ454" t="str">
            <v/>
          </cell>
          <cell r="AR454" t="str">
            <v>好気性ろ床法</v>
          </cell>
          <cell r="AS454" t="str">
            <v>0746101001</v>
          </cell>
          <cell r="AT454" t="str">
            <v/>
          </cell>
          <cell r="AU454" t="str">
            <v>10</v>
          </cell>
          <cell r="AV454" t="str">
            <v>10</v>
          </cell>
          <cell r="AW454">
            <v>0</v>
          </cell>
          <cell r="AX454">
            <v>0</v>
          </cell>
          <cell r="AY454">
            <v>0</v>
          </cell>
          <cell r="AZ454">
            <v>0</v>
          </cell>
          <cell r="BA454">
            <v>0</v>
          </cell>
          <cell r="BD454" t="str">
            <v/>
          </cell>
          <cell r="BE454">
            <v>1</v>
          </cell>
          <cell r="BG454" t="str">
            <v>1100</v>
          </cell>
        </row>
        <row r="455">
          <cell r="B455" t="str">
            <v>G074810106100100</v>
          </cell>
          <cell r="C455" t="str">
            <v>07.福島県</v>
          </cell>
          <cell r="D455" t="str">
            <v>481</v>
          </cell>
          <cell r="E455" t="str">
            <v>棚倉町</v>
          </cell>
          <cell r="F455" t="str">
            <v>01</v>
          </cell>
          <cell r="G455" t="str">
            <v>公共 単独</v>
          </cell>
          <cell r="H455" t="str">
            <v>公共下水道</v>
          </cell>
          <cell r="I455" t="str">
            <v>単独</v>
          </cell>
          <cell r="J455" t="str">
            <v>001</v>
          </cell>
          <cell r="K455" t="str">
            <v>棚倉町浄化センター</v>
          </cell>
          <cell r="M455" t="str">
            <v>1</v>
          </cell>
          <cell r="N455" t="str">
            <v>1</v>
          </cell>
          <cell r="Q455">
            <v>35521</v>
          </cell>
          <cell r="R455" t="str">
            <v>平成</v>
          </cell>
          <cell r="S455">
            <v>9</v>
          </cell>
          <cell r="T455">
            <v>4</v>
          </cell>
          <cell r="AB455">
            <v>22500</v>
          </cell>
          <cell r="AC455" t="str">
            <v>久慈川</v>
          </cell>
          <cell r="AD455" t="str">
            <v>Ａ</v>
          </cell>
          <cell r="AE455" t="str">
            <v>ロ</v>
          </cell>
          <cell r="AF455">
            <v>15</v>
          </cell>
          <cell r="AK455" t="str">
            <v>久慈川</v>
          </cell>
          <cell r="AL455" t="str">
            <v>大宮取水口</v>
          </cell>
          <cell r="AN455">
            <v>50</v>
          </cell>
          <cell r="AO455" t="str">
            <v>茨城県常陸大宮市</v>
          </cell>
          <cell r="AQ455" t="str">
            <v/>
          </cell>
          <cell r="AR455" t="str">
            <v>嫌気好気活性汚泥法</v>
          </cell>
          <cell r="AS455" t="str">
            <v>0748101001</v>
          </cell>
          <cell r="AT455" t="str">
            <v/>
          </cell>
          <cell r="AU455" t="str">
            <v>10</v>
          </cell>
          <cell r="AV455" t="str">
            <v>10</v>
          </cell>
          <cell r="AW455">
            <v>0</v>
          </cell>
          <cell r="AX455">
            <v>0</v>
          </cell>
          <cell r="AY455">
            <v>0</v>
          </cell>
          <cell r="AZ455">
            <v>0</v>
          </cell>
          <cell r="BA455">
            <v>0</v>
          </cell>
          <cell r="BD455" t="str">
            <v/>
          </cell>
          <cell r="BE455">
            <v>1</v>
          </cell>
          <cell r="BG455" t="str">
            <v>1100</v>
          </cell>
        </row>
        <row r="456">
          <cell r="B456" t="str">
            <v>G074830206100100</v>
          </cell>
          <cell r="C456" t="str">
            <v>07.福島県</v>
          </cell>
          <cell r="D456" t="str">
            <v>483</v>
          </cell>
          <cell r="E456" t="str">
            <v>塙町</v>
          </cell>
          <cell r="F456" t="str">
            <v>02</v>
          </cell>
          <cell r="G456" t="str">
            <v>特環 単独</v>
          </cell>
          <cell r="H456" t="str">
            <v>特定環境保全公共下水道</v>
          </cell>
          <cell r="I456" t="str">
            <v>単独</v>
          </cell>
          <cell r="J456" t="str">
            <v>001</v>
          </cell>
          <cell r="K456" t="str">
            <v>塙浄化センター</v>
          </cell>
          <cell r="M456" t="str">
            <v>1</v>
          </cell>
          <cell r="Q456">
            <v>37681</v>
          </cell>
          <cell r="R456" t="str">
            <v>平成</v>
          </cell>
          <cell r="S456">
            <v>15</v>
          </cell>
          <cell r="T456">
            <v>3</v>
          </cell>
          <cell r="AB456">
            <v>12000</v>
          </cell>
          <cell r="AC456" t="str">
            <v>設定なし</v>
          </cell>
          <cell r="AF456">
            <v>15</v>
          </cell>
          <cell r="AK456" t="str">
            <v>久慈川</v>
          </cell>
          <cell r="AL456" t="str">
            <v>不明</v>
          </cell>
          <cell r="AN456">
            <v>20</v>
          </cell>
          <cell r="AO456" t="str">
            <v>大子町</v>
          </cell>
          <cell r="AQ456" t="str">
            <v/>
          </cell>
          <cell r="AR456" t="str">
            <v>オキシディションディッチ法</v>
          </cell>
          <cell r="AS456" t="str">
            <v>0748302001</v>
          </cell>
          <cell r="AT456">
            <v>1</v>
          </cell>
          <cell r="AU456" t="str">
            <v>00</v>
          </cell>
          <cell r="AV456" t="str">
            <v>00</v>
          </cell>
          <cell r="AW456">
            <v>0</v>
          </cell>
          <cell r="AX456">
            <v>0</v>
          </cell>
          <cell r="AY456">
            <v>0</v>
          </cell>
          <cell r="AZ456">
            <v>0</v>
          </cell>
          <cell r="BA456">
            <v>0</v>
          </cell>
          <cell r="BD456" t="str">
            <v/>
          </cell>
          <cell r="BE456">
            <v>1</v>
          </cell>
          <cell r="BG456" t="str">
            <v>1000</v>
          </cell>
        </row>
        <row r="457">
          <cell r="B457" t="str">
            <v>G075040206100100</v>
          </cell>
          <cell r="C457" t="str">
            <v>07.福島県</v>
          </cell>
          <cell r="D457" t="str">
            <v>504</v>
          </cell>
          <cell r="E457" t="str">
            <v>浅川町</v>
          </cell>
          <cell r="F457" t="str">
            <v>02</v>
          </cell>
          <cell r="G457" t="str">
            <v>特環 単独</v>
          </cell>
          <cell r="H457" t="str">
            <v>特定環境保全公共下水道</v>
          </cell>
          <cell r="I457" t="str">
            <v>単独</v>
          </cell>
          <cell r="J457" t="str">
            <v>001</v>
          </cell>
          <cell r="K457" t="str">
            <v>浅川浄化センター</v>
          </cell>
          <cell r="M457" t="str">
            <v>1</v>
          </cell>
          <cell r="N457" t="str">
            <v>1</v>
          </cell>
          <cell r="Q457">
            <v>38777</v>
          </cell>
          <cell r="R457" t="str">
            <v>平成</v>
          </cell>
          <cell r="S457">
            <v>18</v>
          </cell>
          <cell r="T457">
            <v>3</v>
          </cell>
          <cell r="AB457">
            <v>11000</v>
          </cell>
          <cell r="AC457" t="str">
            <v>阿武隈川</v>
          </cell>
          <cell r="AD457" t="str">
            <v>Ａ</v>
          </cell>
          <cell r="AE457" t="str">
            <v>イ</v>
          </cell>
          <cell r="AF457">
            <v>15</v>
          </cell>
          <cell r="AI457" t="str">
            <v>雨水排水路</v>
          </cell>
          <cell r="AK457" t="str">
            <v>社川</v>
          </cell>
          <cell r="AN457">
            <v>99</v>
          </cell>
          <cell r="AO457" t="str">
            <v>福島市</v>
          </cell>
          <cell r="AQ457" t="str">
            <v/>
          </cell>
          <cell r="AR457" t="str">
            <v>オキシディションディッチ法</v>
          </cell>
          <cell r="AS457" t="str">
            <v>0750402001</v>
          </cell>
          <cell r="AT457" t="str">
            <v/>
          </cell>
          <cell r="AU457" t="str">
            <v>10</v>
          </cell>
          <cell r="AV457" t="str">
            <v>10</v>
          </cell>
          <cell r="AW457">
            <v>0</v>
          </cell>
          <cell r="AX457">
            <v>0</v>
          </cell>
          <cell r="AY457">
            <v>0</v>
          </cell>
          <cell r="AZ457">
            <v>0</v>
          </cell>
          <cell r="BA457">
            <v>0</v>
          </cell>
          <cell r="BD457" t="str">
            <v/>
          </cell>
          <cell r="BE457">
            <v>1</v>
          </cell>
          <cell r="BG457" t="str">
            <v>1100</v>
          </cell>
        </row>
        <row r="458">
          <cell r="B458" t="str">
            <v>G075210106100100</v>
          </cell>
          <cell r="C458" t="str">
            <v>07.福島県</v>
          </cell>
          <cell r="D458" t="str">
            <v>521</v>
          </cell>
          <cell r="E458" t="str">
            <v>三春町</v>
          </cell>
          <cell r="F458" t="str">
            <v>01</v>
          </cell>
          <cell r="G458" t="str">
            <v>公共 単独</v>
          </cell>
          <cell r="H458" t="str">
            <v>公共下水道</v>
          </cell>
          <cell r="I458" t="str">
            <v>単独</v>
          </cell>
          <cell r="J458" t="str">
            <v>001</v>
          </cell>
          <cell r="K458" t="str">
            <v>三春水環境センター</v>
          </cell>
          <cell r="M458" t="str">
            <v>1</v>
          </cell>
          <cell r="N458" t="str">
            <v>1</v>
          </cell>
          <cell r="Q458">
            <v>36617</v>
          </cell>
          <cell r="R458" t="str">
            <v>平成</v>
          </cell>
          <cell r="S458">
            <v>12</v>
          </cell>
          <cell r="T458">
            <v>4</v>
          </cell>
          <cell r="AB458">
            <v>63236</v>
          </cell>
          <cell r="AC458" t="str">
            <v>設定なし</v>
          </cell>
          <cell r="AF458">
            <v>15</v>
          </cell>
          <cell r="AK458" t="str">
            <v>桜川</v>
          </cell>
          <cell r="AL458" t="str">
            <v>枝野取水口</v>
          </cell>
          <cell r="AN458">
            <v>85</v>
          </cell>
          <cell r="AO458" t="str">
            <v>角田市</v>
          </cell>
          <cell r="AQ458" t="str">
            <v/>
          </cell>
          <cell r="AR458" t="str">
            <v>オキシディションディッチ法</v>
          </cell>
          <cell r="AS458" t="str">
            <v>0752101001</v>
          </cell>
          <cell r="AT458" t="str">
            <v/>
          </cell>
          <cell r="AU458" t="str">
            <v>10</v>
          </cell>
          <cell r="AV458" t="str">
            <v>10</v>
          </cell>
          <cell r="AW458">
            <v>0</v>
          </cell>
          <cell r="AX458">
            <v>0</v>
          </cell>
          <cell r="AY458">
            <v>0</v>
          </cell>
          <cell r="AZ458">
            <v>0</v>
          </cell>
          <cell r="BA458">
            <v>0</v>
          </cell>
          <cell r="BD458" t="str">
            <v/>
          </cell>
          <cell r="BE458">
            <v>1</v>
          </cell>
          <cell r="BG458" t="str">
            <v>1100</v>
          </cell>
        </row>
        <row r="459">
          <cell r="B459" t="str">
            <v>G075410206100100</v>
          </cell>
          <cell r="C459" t="str">
            <v>07.福島県</v>
          </cell>
          <cell r="D459" t="str">
            <v>541</v>
          </cell>
          <cell r="E459" t="str">
            <v>広野町</v>
          </cell>
          <cell r="F459" t="str">
            <v>02</v>
          </cell>
          <cell r="G459" t="str">
            <v>特環 単独</v>
          </cell>
          <cell r="H459" t="str">
            <v>特定環境保全公共下水道</v>
          </cell>
          <cell r="I459" t="str">
            <v>単独</v>
          </cell>
          <cell r="J459" t="str">
            <v>001</v>
          </cell>
          <cell r="K459" t="str">
            <v>広野浄化センター</v>
          </cell>
          <cell r="M459" t="str">
            <v>1</v>
          </cell>
          <cell r="N459" t="str">
            <v>1</v>
          </cell>
          <cell r="Q459">
            <v>34066</v>
          </cell>
          <cell r="R459" t="str">
            <v>平成</v>
          </cell>
          <cell r="S459">
            <v>5</v>
          </cell>
          <cell r="T459">
            <v>4</v>
          </cell>
          <cell r="AB459">
            <v>8500</v>
          </cell>
          <cell r="AF459">
            <v>15</v>
          </cell>
          <cell r="AJ459" t="str">
            <v>北迫川</v>
          </cell>
          <cell r="AQ459" t="str">
            <v/>
          </cell>
          <cell r="AR459" t="str">
            <v>オキシディションディッチ法</v>
          </cell>
          <cell r="AS459" t="str">
            <v>0754102001</v>
          </cell>
          <cell r="AT459" t="str">
            <v/>
          </cell>
          <cell r="AU459" t="str">
            <v>10</v>
          </cell>
          <cell r="AV459" t="str">
            <v>10</v>
          </cell>
          <cell r="AW459">
            <v>0</v>
          </cell>
          <cell r="AX459">
            <v>0</v>
          </cell>
          <cell r="AY459">
            <v>0</v>
          </cell>
          <cell r="AZ459">
            <v>0</v>
          </cell>
          <cell r="BA459">
            <v>0</v>
          </cell>
          <cell r="BD459" t="str">
            <v/>
          </cell>
          <cell r="BE459">
            <v>1</v>
          </cell>
          <cell r="BG459" t="str">
            <v>1100</v>
          </cell>
        </row>
        <row r="460">
          <cell r="B460" t="str">
            <v>G075420206100100</v>
          </cell>
          <cell r="C460" t="str">
            <v>07.福島県</v>
          </cell>
          <cell r="D460" t="str">
            <v>542</v>
          </cell>
          <cell r="E460" t="str">
            <v>楢葉町</v>
          </cell>
          <cell r="F460" t="str">
            <v>02</v>
          </cell>
          <cell r="G460" t="str">
            <v>特環 単独</v>
          </cell>
          <cell r="H460" t="str">
            <v>特定環境保全公共下水道</v>
          </cell>
          <cell r="I460" t="str">
            <v>単独</v>
          </cell>
          <cell r="J460" t="str">
            <v>001</v>
          </cell>
          <cell r="K460" t="str">
            <v>南地区浄化センター</v>
          </cell>
          <cell r="M460" t="str">
            <v>1</v>
          </cell>
          <cell r="N460" t="str">
            <v>1</v>
          </cell>
          <cell r="P460" t="str">
            <v>1</v>
          </cell>
          <cell r="Q460">
            <v>34425</v>
          </cell>
          <cell r="R460" t="str">
            <v>平成</v>
          </cell>
          <cell r="S460">
            <v>6</v>
          </cell>
          <cell r="T460">
            <v>4</v>
          </cell>
          <cell r="U460" t="str">
            <v>休止</v>
          </cell>
          <cell r="V460">
            <v>40613</v>
          </cell>
          <cell r="W460" t="str">
            <v>平成</v>
          </cell>
          <cell r="X460">
            <v>23</v>
          </cell>
          <cell r="Y460">
            <v>3</v>
          </cell>
          <cell r="AB460">
            <v>12200</v>
          </cell>
          <cell r="AC460" t="str">
            <v>相双地先海域</v>
          </cell>
          <cell r="AD460" t="str">
            <v>Ａ</v>
          </cell>
          <cell r="AE460" t="str">
            <v>イ</v>
          </cell>
          <cell r="AF460">
            <v>15</v>
          </cell>
          <cell r="AI460" t="str">
            <v>農業用排水路</v>
          </cell>
          <cell r="AL460" t="str">
            <v>木戸川</v>
          </cell>
          <cell r="AM460">
            <v>4</v>
          </cell>
          <cell r="AO460" t="str">
            <v>楢葉町外４町</v>
          </cell>
          <cell r="AQ460" t="str">
            <v>休止</v>
          </cell>
          <cell r="AR460" t="str">
            <v/>
          </cell>
          <cell r="AS460" t="str">
            <v>0754202001</v>
          </cell>
          <cell r="AT460" t="str">
            <v/>
          </cell>
          <cell r="AU460" t="str">
            <v>10</v>
          </cell>
          <cell r="AV460" t="str">
            <v>00</v>
          </cell>
          <cell r="AW460">
            <v>0</v>
          </cell>
          <cell r="AX460">
            <v>-1</v>
          </cell>
          <cell r="AY460">
            <v>0</v>
          </cell>
          <cell r="AZ460">
            <v>-1</v>
          </cell>
          <cell r="BA460">
            <v>2</v>
          </cell>
          <cell r="BB460" t="str">
            <v>場休止</v>
          </cell>
          <cell r="BD460" t="str">
            <v>場休止</v>
          </cell>
          <cell r="BE460">
            <v>1</v>
          </cell>
          <cell r="BG460">
            <v>5555</v>
          </cell>
        </row>
        <row r="461">
          <cell r="B461" t="str">
            <v>G075420206100200</v>
          </cell>
          <cell r="C461" t="str">
            <v>07.福島県</v>
          </cell>
          <cell r="D461" t="str">
            <v>542</v>
          </cell>
          <cell r="E461" t="str">
            <v>楢葉町</v>
          </cell>
          <cell r="F461" t="str">
            <v>02</v>
          </cell>
          <cell r="G461" t="str">
            <v>特環 単独</v>
          </cell>
          <cell r="H461" t="str">
            <v>特定環境保全公共下水道</v>
          </cell>
          <cell r="I461" t="str">
            <v>単独</v>
          </cell>
          <cell r="J461" t="str">
            <v>002</v>
          </cell>
          <cell r="K461" t="str">
            <v>北地区浄化センター</v>
          </cell>
          <cell r="M461" t="str">
            <v>1</v>
          </cell>
          <cell r="N461" t="str">
            <v>1</v>
          </cell>
          <cell r="P461" t="str">
            <v>1</v>
          </cell>
          <cell r="Q461">
            <v>38443</v>
          </cell>
          <cell r="R461" t="str">
            <v>平成</v>
          </cell>
          <cell r="S461">
            <v>17</v>
          </cell>
          <cell r="T461">
            <v>4</v>
          </cell>
          <cell r="U461" t="str">
            <v>休止</v>
          </cell>
          <cell r="V461">
            <v>40613</v>
          </cell>
          <cell r="W461" t="str">
            <v>平成</v>
          </cell>
          <cell r="X461">
            <v>23</v>
          </cell>
          <cell r="Y461">
            <v>3</v>
          </cell>
          <cell r="AB461">
            <v>15900</v>
          </cell>
          <cell r="AC461" t="str">
            <v>相双地先海域</v>
          </cell>
          <cell r="AD461" t="str">
            <v>Ａ</v>
          </cell>
          <cell r="AE461" t="str">
            <v>イ</v>
          </cell>
          <cell r="AF461">
            <v>15</v>
          </cell>
          <cell r="AI461" t="str">
            <v>農業用排水路</v>
          </cell>
          <cell r="AJ461" t="str">
            <v>井出川</v>
          </cell>
          <cell r="AL461" t="str">
            <v>木戸川</v>
          </cell>
          <cell r="AM461">
            <v>3</v>
          </cell>
          <cell r="AO461" t="str">
            <v>楢葉町外４町</v>
          </cell>
          <cell r="AQ461" t="str">
            <v>休止</v>
          </cell>
          <cell r="AR461" t="str">
            <v/>
          </cell>
          <cell r="AS461" t="str">
            <v>0754202002</v>
          </cell>
          <cell r="AT461" t="str">
            <v/>
          </cell>
          <cell r="AU461" t="str">
            <v>10</v>
          </cell>
          <cell r="AV461" t="str">
            <v>10</v>
          </cell>
          <cell r="AW461">
            <v>0</v>
          </cell>
          <cell r="AX461">
            <v>0</v>
          </cell>
          <cell r="AY461">
            <v>0</v>
          </cell>
          <cell r="AZ461">
            <v>-1</v>
          </cell>
          <cell r="BA461">
            <v>1</v>
          </cell>
          <cell r="BB461" t="str">
            <v>場休止</v>
          </cell>
          <cell r="BD461" t="str">
            <v>場休止</v>
          </cell>
          <cell r="BE461">
            <v>1</v>
          </cell>
          <cell r="BG461">
            <v>5555</v>
          </cell>
        </row>
        <row r="462">
          <cell r="B462" t="str">
            <v>G075430106100100</v>
          </cell>
          <cell r="C462" t="str">
            <v>07.福島県</v>
          </cell>
          <cell r="D462" t="str">
            <v>543</v>
          </cell>
          <cell r="E462" t="str">
            <v>富岡町</v>
          </cell>
          <cell r="F462" t="str">
            <v>01</v>
          </cell>
          <cell r="G462" t="str">
            <v>公共 単独</v>
          </cell>
          <cell r="H462" t="str">
            <v>公共下水道</v>
          </cell>
          <cell r="I462" t="str">
            <v>単独</v>
          </cell>
          <cell r="J462" t="str">
            <v>001</v>
          </cell>
          <cell r="K462" t="str">
            <v>富岡浄化センター</v>
          </cell>
          <cell r="M462" t="str">
            <v>1</v>
          </cell>
          <cell r="N462" t="str">
            <v>1</v>
          </cell>
          <cell r="Q462">
            <v>33695</v>
          </cell>
          <cell r="R462" t="str">
            <v>平成</v>
          </cell>
          <cell r="S462">
            <v>4</v>
          </cell>
          <cell r="T462">
            <v>4</v>
          </cell>
          <cell r="U462" t="str">
            <v>休止</v>
          </cell>
          <cell r="V462">
            <v>40603</v>
          </cell>
          <cell r="W462" t="str">
            <v>平成</v>
          </cell>
          <cell r="X462">
            <v>23</v>
          </cell>
          <cell r="Y462">
            <v>3</v>
          </cell>
          <cell r="AQ462" t="str">
            <v>休止</v>
          </cell>
          <cell r="AR462" t="str">
            <v/>
          </cell>
          <cell r="AS462" t="str">
            <v>0754301001</v>
          </cell>
          <cell r="AT462" t="str">
            <v/>
          </cell>
          <cell r="AU462" t="str">
            <v>10</v>
          </cell>
          <cell r="AV462" t="str">
            <v>10</v>
          </cell>
          <cell r="AW462">
            <v>0</v>
          </cell>
          <cell r="AX462">
            <v>0</v>
          </cell>
          <cell r="AY462">
            <v>0</v>
          </cell>
          <cell r="AZ462">
            <v>0</v>
          </cell>
          <cell r="BA462">
            <v>0</v>
          </cell>
          <cell r="BD462" t="str">
            <v/>
          </cell>
          <cell r="BE462">
            <v>1</v>
          </cell>
          <cell r="BG462">
            <v>5555</v>
          </cell>
        </row>
        <row r="463">
          <cell r="B463" t="str">
            <v>G075430206100200</v>
          </cell>
          <cell r="C463" t="str">
            <v>07.福島県</v>
          </cell>
          <cell r="D463" t="str">
            <v>543</v>
          </cell>
          <cell r="E463" t="str">
            <v>富岡町</v>
          </cell>
          <cell r="F463" t="str">
            <v>02</v>
          </cell>
          <cell r="G463" t="str">
            <v>特環 単独</v>
          </cell>
          <cell r="H463" t="str">
            <v>特定環境保全公共下水道</v>
          </cell>
          <cell r="I463" t="str">
            <v>単独</v>
          </cell>
          <cell r="J463" t="str">
            <v>002</v>
          </cell>
          <cell r="K463" t="str">
            <v>蛇谷須浄化センター</v>
          </cell>
          <cell r="M463" t="str">
            <v>1</v>
          </cell>
          <cell r="N463" t="str">
            <v>1</v>
          </cell>
          <cell r="U463" t="str">
            <v>休止</v>
          </cell>
          <cell r="V463">
            <v>40603</v>
          </cell>
          <cell r="W463" t="str">
            <v>平成</v>
          </cell>
          <cell r="X463">
            <v>23</v>
          </cell>
          <cell r="Y463">
            <v>3</v>
          </cell>
          <cell r="AQ463" t="str">
            <v>休止</v>
          </cell>
          <cell r="AR463" t="str">
            <v/>
          </cell>
          <cell r="AS463" t="str">
            <v>0754302002</v>
          </cell>
          <cell r="AT463" t="str">
            <v/>
          </cell>
          <cell r="AU463" t="str">
            <v>10</v>
          </cell>
          <cell r="AV463" t="str">
            <v>10</v>
          </cell>
          <cell r="AW463">
            <v>0</v>
          </cell>
          <cell r="AX463">
            <v>0</v>
          </cell>
          <cell r="AY463">
            <v>0</v>
          </cell>
          <cell r="AZ463">
            <v>0</v>
          </cell>
          <cell r="BA463">
            <v>0</v>
          </cell>
          <cell r="BD463" t="str">
            <v/>
          </cell>
          <cell r="BE463">
            <v>1</v>
          </cell>
          <cell r="BG463">
            <v>5555</v>
          </cell>
        </row>
        <row r="464">
          <cell r="B464" t="str">
            <v>G075450206100100</v>
          </cell>
          <cell r="C464" t="str">
            <v>07.福島県</v>
          </cell>
          <cell r="D464" t="str">
            <v>545</v>
          </cell>
          <cell r="E464" t="str">
            <v>大熊町</v>
          </cell>
          <cell r="F464" t="str">
            <v>02</v>
          </cell>
          <cell r="G464" t="str">
            <v>特環 単独</v>
          </cell>
          <cell r="H464" t="str">
            <v>特定環境保全公共下水道</v>
          </cell>
          <cell r="I464" t="str">
            <v>単独</v>
          </cell>
          <cell r="J464" t="str">
            <v>001</v>
          </cell>
          <cell r="K464" t="str">
            <v>新町浄化センター</v>
          </cell>
          <cell r="M464" t="str">
            <v>1</v>
          </cell>
          <cell r="N464" t="str">
            <v>1</v>
          </cell>
          <cell r="Q464">
            <v>35521</v>
          </cell>
          <cell r="R464" t="str">
            <v>平成</v>
          </cell>
          <cell r="S464">
            <v>9</v>
          </cell>
          <cell r="T464">
            <v>4</v>
          </cell>
          <cell r="U464" t="str">
            <v>休止</v>
          </cell>
          <cell r="V464">
            <v>40613</v>
          </cell>
          <cell r="W464" t="str">
            <v>平成</v>
          </cell>
          <cell r="X464">
            <v>23</v>
          </cell>
          <cell r="Y464">
            <v>3</v>
          </cell>
          <cell r="AB464">
            <v>7700</v>
          </cell>
          <cell r="AI464" t="str">
            <v>新町排水路</v>
          </cell>
          <cell r="AQ464" t="str">
            <v>休止</v>
          </cell>
          <cell r="AR464" t="str">
            <v/>
          </cell>
          <cell r="AS464" t="str">
            <v>0754502001</v>
          </cell>
          <cell r="AT464" t="str">
            <v/>
          </cell>
          <cell r="AU464" t="str">
            <v>10</v>
          </cell>
          <cell r="AV464" t="str">
            <v>00</v>
          </cell>
          <cell r="AW464">
            <v>0</v>
          </cell>
          <cell r="AX464">
            <v>-1</v>
          </cell>
          <cell r="AY464">
            <v>0</v>
          </cell>
          <cell r="AZ464">
            <v>0</v>
          </cell>
          <cell r="BA464">
            <v>1</v>
          </cell>
          <cell r="BB464" t="str">
            <v>場休止</v>
          </cell>
          <cell r="BD464" t="str">
            <v>場休止</v>
          </cell>
          <cell r="BE464">
            <v>1</v>
          </cell>
          <cell r="BG464">
            <v>5555</v>
          </cell>
        </row>
        <row r="465">
          <cell r="B465" t="str">
            <v>G075460106100100</v>
          </cell>
          <cell r="C465" t="str">
            <v>07.福島県</v>
          </cell>
          <cell r="D465" t="str">
            <v>546</v>
          </cell>
          <cell r="E465" t="str">
            <v>双葉町</v>
          </cell>
          <cell r="F465" t="str">
            <v>01</v>
          </cell>
          <cell r="G465" t="str">
            <v>公共 単独</v>
          </cell>
          <cell r="H465" t="str">
            <v>公共下水道</v>
          </cell>
          <cell r="I465" t="str">
            <v>単独</v>
          </cell>
          <cell r="J465" t="str">
            <v>001</v>
          </cell>
          <cell r="K465" t="str">
            <v>双葉浄化センター</v>
          </cell>
          <cell r="M465" t="str">
            <v>1</v>
          </cell>
          <cell r="N465" t="str">
            <v>1</v>
          </cell>
          <cell r="Q465">
            <v>32599</v>
          </cell>
          <cell r="R465" t="str">
            <v>平成</v>
          </cell>
          <cell r="S465">
            <v>1</v>
          </cell>
          <cell r="T465">
            <v>4</v>
          </cell>
          <cell r="U465" t="str">
            <v>休止</v>
          </cell>
          <cell r="V465">
            <v>40613</v>
          </cell>
          <cell r="W465" t="str">
            <v>平成</v>
          </cell>
          <cell r="X465">
            <v>23</v>
          </cell>
          <cell r="Y465">
            <v>3</v>
          </cell>
          <cell r="AB465">
            <v>22600</v>
          </cell>
          <cell r="AC465" t="str">
            <v>前田川</v>
          </cell>
          <cell r="AD465" t="str">
            <v>Ａ-1</v>
          </cell>
          <cell r="AF465">
            <v>15</v>
          </cell>
          <cell r="AJ465" t="str">
            <v>前田川</v>
          </cell>
          <cell r="AQ465" t="str">
            <v>休止</v>
          </cell>
          <cell r="AR465" t="str">
            <v/>
          </cell>
          <cell r="AS465" t="str">
            <v>0754601001</v>
          </cell>
          <cell r="AT465" t="str">
            <v/>
          </cell>
          <cell r="AU465" t="str">
            <v>10</v>
          </cell>
          <cell r="AV465" t="str">
            <v>00</v>
          </cell>
          <cell r="AW465">
            <v>0</v>
          </cell>
          <cell r="AX465">
            <v>-1</v>
          </cell>
          <cell r="AY465">
            <v>0</v>
          </cell>
          <cell r="AZ465">
            <v>0</v>
          </cell>
          <cell r="BA465">
            <v>1</v>
          </cell>
          <cell r="BB465" t="str">
            <v>場休止</v>
          </cell>
          <cell r="BD465" t="str">
            <v>場休止</v>
          </cell>
          <cell r="BE465">
            <v>1</v>
          </cell>
          <cell r="BG465">
            <v>5555</v>
          </cell>
        </row>
        <row r="466">
          <cell r="B466" t="str">
            <v>G075470106100100</v>
          </cell>
          <cell r="C466" t="str">
            <v>07.福島県</v>
          </cell>
          <cell r="D466" t="str">
            <v>547</v>
          </cell>
          <cell r="E466" t="str">
            <v>浪江町</v>
          </cell>
          <cell r="F466" t="str">
            <v>01</v>
          </cell>
          <cell r="G466" t="str">
            <v>公共 単独</v>
          </cell>
          <cell r="H466" t="str">
            <v>公共下水道</v>
          </cell>
          <cell r="I466" t="str">
            <v>単独</v>
          </cell>
          <cell r="J466" t="str">
            <v>001</v>
          </cell>
          <cell r="K466" t="str">
            <v>浪江浄化センター</v>
          </cell>
          <cell r="M466" t="str">
            <v>1</v>
          </cell>
          <cell r="N466" t="str">
            <v>1</v>
          </cell>
          <cell r="Q466">
            <v>33482</v>
          </cell>
          <cell r="R466" t="str">
            <v>平成</v>
          </cell>
          <cell r="S466">
            <v>3</v>
          </cell>
          <cell r="T466">
            <v>9</v>
          </cell>
          <cell r="U466" t="str">
            <v>休止</v>
          </cell>
          <cell r="V466">
            <v>40613</v>
          </cell>
          <cell r="W466" t="str">
            <v>平成</v>
          </cell>
          <cell r="X466">
            <v>23</v>
          </cell>
          <cell r="Y466">
            <v>3</v>
          </cell>
          <cell r="AB466">
            <v>47000</v>
          </cell>
          <cell r="AC466" t="str">
            <v>相双海域</v>
          </cell>
          <cell r="AF466">
            <v>15</v>
          </cell>
          <cell r="AI466" t="str">
            <v>農業用水路</v>
          </cell>
          <cell r="AP466" t="str">
            <v>全町避難中</v>
          </cell>
          <cell r="AQ466" t="str">
            <v>休止</v>
          </cell>
          <cell r="AR466" t="str">
            <v/>
          </cell>
          <cell r="AS466" t="str">
            <v>0754701001</v>
          </cell>
          <cell r="AT466" t="str">
            <v/>
          </cell>
          <cell r="AU466" t="str">
            <v>10</v>
          </cell>
          <cell r="AV466" t="str">
            <v>00</v>
          </cell>
          <cell r="AW466">
            <v>0</v>
          </cell>
          <cell r="AX466">
            <v>-1</v>
          </cell>
          <cell r="AY466">
            <v>0</v>
          </cell>
          <cell r="AZ466">
            <v>0</v>
          </cell>
          <cell r="BA466">
            <v>1</v>
          </cell>
          <cell r="BB466" t="str">
            <v>場休止</v>
          </cell>
          <cell r="BD466" t="str">
            <v>場休止</v>
          </cell>
          <cell r="BE466">
            <v>1</v>
          </cell>
          <cell r="BG466">
            <v>5555</v>
          </cell>
        </row>
        <row r="467">
          <cell r="B467" t="str">
            <v>G075610206100100</v>
          </cell>
          <cell r="C467" t="str">
            <v>07.福島県</v>
          </cell>
          <cell r="D467" t="str">
            <v>561</v>
          </cell>
          <cell r="E467" t="str">
            <v>新地町</v>
          </cell>
          <cell r="F467" t="str">
            <v>02</v>
          </cell>
          <cell r="G467" t="str">
            <v>特環 単独</v>
          </cell>
          <cell r="H467" t="str">
            <v>特定環境保全公共下水道</v>
          </cell>
          <cell r="I467" t="str">
            <v>単独</v>
          </cell>
          <cell r="J467" t="str">
            <v>001</v>
          </cell>
          <cell r="K467" t="str">
            <v>新地浄化センター</v>
          </cell>
          <cell r="M467" t="str">
            <v>1</v>
          </cell>
          <cell r="N467" t="str">
            <v>1</v>
          </cell>
          <cell r="Q467">
            <v>36770</v>
          </cell>
          <cell r="R467" t="str">
            <v>平成</v>
          </cell>
          <cell r="S467">
            <v>12</v>
          </cell>
          <cell r="T467">
            <v>9</v>
          </cell>
          <cell r="AB467">
            <v>16400</v>
          </cell>
          <cell r="AF467">
            <v>15</v>
          </cell>
          <cell r="AJ467" t="str">
            <v>砂子田川</v>
          </cell>
          <cell r="AL467" t="str">
            <v>真野ダム</v>
          </cell>
          <cell r="AM467">
            <v>10</v>
          </cell>
          <cell r="AQ467" t="str">
            <v/>
          </cell>
          <cell r="AR467" t="str">
            <v>オキシディションディッチ法</v>
          </cell>
          <cell r="AS467" t="str">
            <v>0756102001</v>
          </cell>
          <cell r="AT467" t="str">
            <v/>
          </cell>
          <cell r="AU467" t="str">
            <v>10</v>
          </cell>
          <cell r="AV467" t="str">
            <v>10</v>
          </cell>
          <cell r="AW467">
            <v>0</v>
          </cell>
          <cell r="AX467">
            <v>0</v>
          </cell>
          <cell r="AY467">
            <v>0</v>
          </cell>
          <cell r="AZ467">
            <v>0</v>
          </cell>
          <cell r="BA467">
            <v>0</v>
          </cell>
          <cell r="BD467" t="str">
            <v/>
          </cell>
          <cell r="BE467">
            <v>1</v>
          </cell>
          <cell r="BG467" t="str">
            <v>1100</v>
          </cell>
        </row>
        <row r="468">
          <cell r="B468" t="str">
            <v>G078010106100100</v>
          </cell>
          <cell r="C468" t="str">
            <v>07.福島県</v>
          </cell>
          <cell r="D468" t="str">
            <v>801</v>
          </cell>
          <cell r="E468" t="str">
            <v>双葉地方広域市町村圏組合</v>
          </cell>
          <cell r="F468" t="str">
            <v>01</v>
          </cell>
          <cell r="G468" t="str">
            <v>公共 単独</v>
          </cell>
          <cell r="H468" t="str">
            <v>公共下水道</v>
          </cell>
          <cell r="I468" t="str">
            <v>単独</v>
          </cell>
          <cell r="J468" t="str">
            <v>001</v>
          </cell>
          <cell r="K468" t="str">
            <v>汚泥リサイクルセンター</v>
          </cell>
          <cell r="N468" t="str">
            <v>1</v>
          </cell>
          <cell r="Q468">
            <v>37895</v>
          </cell>
          <cell r="R468" t="str">
            <v>平成</v>
          </cell>
          <cell r="S468">
            <v>15</v>
          </cell>
          <cell r="T468">
            <v>10</v>
          </cell>
          <cell r="U468" t="str">
            <v>休止</v>
          </cell>
          <cell r="V468">
            <v>40613</v>
          </cell>
          <cell r="W468" t="str">
            <v>平成</v>
          </cell>
          <cell r="X468">
            <v>23</v>
          </cell>
          <cell r="Y468">
            <v>3</v>
          </cell>
          <cell r="AB468">
            <v>7977</v>
          </cell>
          <cell r="AC468" t="str">
            <v>該当しない</v>
          </cell>
          <cell r="AI468" t="str">
            <v>該当しない</v>
          </cell>
          <cell r="AQ468" t="str">
            <v>休止</v>
          </cell>
          <cell r="AR468" t="str">
            <v/>
          </cell>
          <cell r="AS468" t="str">
            <v>0780101001</v>
          </cell>
          <cell r="AT468" t="str">
            <v/>
          </cell>
          <cell r="AU468" t="str">
            <v>10</v>
          </cell>
          <cell r="AV468" t="str">
            <v>10</v>
          </cell>
          <cell r="AW468">
            <v>0</v>
          </cell>
          <cell r="AX468">
            <v>0</v>
          </cell>
          <cell r="AY468">
            <v>0</v>
          </cell>
          <cell r="AZ468">
            <v>0</v>
          </cell>
          <cell r="BA468">
            <v>0</v>
          </cell>
          <cell r="BD468" t="str">
            <v/>
          </cell>
          <cell r="BE468">
            <v>1</v>
          </cell>
          <cell r="BG468">
            <v>5555</v>
          </cell>
        </row>
        <row r="469">
          <cell r="B469" t="str">
            <v>G080018106100100</v>
          </cell>
          <cell r="C469" t="str">
            <v>08.茨城県</v>
          </cell>
          <cell r="D469" t="str">
            <v>001</v>
          </cell>
          <cell r="E469" t="str">
            <v>霞ヶ浦湖北流域</v>
          </cell>
          <cell r="F469" t="str">
            <v>81</v>
          </cell>
          <cell r="G469" t="str">
            <v>流域</v>
          </cell>
          <cell r="H469" t="str">
            <v>流域下水道</v>
          </cell>
          <cell r="I469" t="str">
            <v/>
          </cell>
          <cell r="J469" t="str">
            <v>001</v>
          </cell>
          <cell r="K469" t="str">
            <v>霞ヶ浦浄化センター</v>
          </cell>
          <cell r="M469" t="str">
            <v>1</v>
          </cell>
          <cell r="N469" t="str">
            <v>1</v>
          </cell>
          <cell r="O469" t="str">
            <v>1</v>
          </cell>
          <cell r="Q469">
            <v>28856</v>
          </cell>
          <cell r="R469" t="str">
            <v>昭和</v>
          </cell>
          <cell r="S469">
            <v>54</v>
          </cell>
          <cell r="T469">
            <v>1</v>
          </cell>
          <cell r="AB469">
            <v>114630</v>
          </cell>
          <cell r="AC469" t="str">
            <v>霞ヶ浦（全域）</v>
          </cell>
          <cell r="AD469" t="str">
            <v>Ａ</v>
          </cell>
          <cell r="AE469" t="str">
            <v>ハ</v>
          </cell>
          <cell r="AF469">
            <v>5.9</v>
          </cell>
          <cell r="AG469">
            <v>5.4</v>
          </cell>
          <cell r="AH469">
            <v>0.4</v>
          </cell>
          <cell r="AI469" t="str">
            <v>霞ヶ浦</v>
          </cell>
          <cell r="AL469" t="str">
            <v>木原取水口</v>
          </cell>
          <cell r="AN469">
            <v>8</v>
          </cell>
          <cell r="AO469" t="str">
            <v>茨城県</v>
          </cell>
          <cell r="AQ469" t="str">
            <v/>
          </cell>
          <cell r="AR469" t="str">
            <v>循環式硝化脱窒法</v>
          </cell>
          <cell r="AS469" t="str">
            <v>0800181001</v>
          </cell>
          <cell r="AT469" t="str">
            <v/>
          </cell>
          <cell r="AU469" t="str">
            <v>11</v>
          </cell>
          <cell r="AV469" t="str">
            <v>11</v>
          </cell>
          <cell r="AW469">
            <v>0</v>
          </cell>
          <cell r="AX469">
            <v>0</v>
          </cell>
          <cell r="AY469">
            <v>0</v>
          </cell>
          <cell r="AZ469">
            <v>0</v>
          </cell>
          <cell r="BA469">
            <v>0</v>
          </cell>
          <cell r="BD469" t="str">
            <v/>
          </cell>
          <cell r="BE469">
            <v>1</v>
          </cell>
          <cell r="BG469" t="str">
            <v>1110</v>
          </cell>
        </row>
        <row r="470">
          <cell r="B470" t="str">
            <v>G080028106100100</v>
          </cell>
          <cell r="C470" t="str">
            <v>08.茨城県</v>
          </cell>
          <cell r="D470" t="str">
            <v>002</v>
          </cell>
          <cell r="E470" t="str">
            <v>霞ヶ浦常南流域</v>
          </cell>
          <cell r="F470" t="str">
            <v>81</v>
          </cell>
          <cell r="G470" t="str">
            <v>流域</v>
          </cell>
          <cell r="H470" t="str">
            <v>流域下水道</v>
          </cell>
          <cell r="I470" t="str">
            <v/>
          </cell>
          <cell r="J470" t="str">
            <v>001</v>
          </cell>
          <cell r="K470" t="str">
            <v>利根浄化センター</v>
          </cell>
          <cell r="M470" t="str">
            <v>1</v>
          </cell>
          <cell r="N470" t="str">
            <v>1</v>
          </cell>
          <cell r="Q470">
            <v>27912</v>
          </cell>
          <cell r="R470" t="str">
            <v>昭和</v>
          </cell>
          <cell r="S470">
            <v>51</v>
          </cell>
          <cell r="T470">
            <v>6</v>
          </cell>
          <cell r="AB470">
            <v>336000</v>
          </cell>
          <cell r="AC470" t="str">
            <v>利根川</v>
          </cell>
          <cell r="AD470" t="str">
            <v>Ａ</v>
          </cell>
          <cell r="AE470" t="str">
            <v>イ</v>
          </cell>
          <cell r="AF470">
            <v>8</v>
          </cell>
          <cell r="AK470" t="str">
            <v>利根川</v>
          </cell>
          <cell r="AL470" t="str">
            <v>木下取水場</v>
          </cell>
          <cell r="AM470">
            <v>1.2</v>
          </cell>
          <cell r="AO470" t="str">
            <v>千葉県水道局</v>
          </cell>
          <cell r="AQ470" t="str">
            <v/>
          </cell>
          <cell r="AR470" t="str">
            <v>その他処理方法</v>
          </cell>
          <cell r="AS470" t="str">
            <v>0800281001</v>
          </cell>
          <cell r="AT470" t="str">
            <v/>
          </cell>
          <cell r="AU470" t="str">
            <v>10</v>
          </cell>
          <cell r="AV470" t="str">
            <v>10</v>
          </cell>
          <cell r="AW470">
            <v>0</v>
          </cell>
          <cell r="AX470">
            <v>0</v>
          </cell>
          <cell r="AY470">
            <v>0</v>
          </cell>
          <cell r="AZ470">
            <v>0</v>
          </cell>
          <cell r="BA470">
            <v>0</v>
          </cell>
          <cell r="BD470" t="str">
            <v/>
          </cell>
          <cell r="BE470">
            <v>1</v>
          </cell>
          <cell r="BG470" t="str">
            <v>1100</v>
          </cell>
        </row>
        <row r="471">
          <cell r="B471" t="str">
            <v>G080038106100100</v>
          </cell>
          <cell r="C471" t="str">
            <v>08.茨城県</v>
          </cell>
          <cell r="D471" t="str">
            <v>003</v>
          </cell>
          <cell r="E471" t="str">
            <v>那珂久慈流域</v>
          </cell>
          <cell r="F471" t="str">
            <v>81</v>
          </cell>
          <cell r="G471" t="str">
            <v>流域</v>
          </cell>
          <cell r="H471" t="str">
            <v>流域下水道</v>
          </cell>
          <cell r="I471" t="str">
            <v/>
          </cell>
          <cell r="J471" t="str">
            <v>001</v>
          </cell>
          <cell r="K471" t="str">
            <v>那珂久慈浄化センター</v>
          </cell>
          <cell r="M471" t="str">
            <v>1</v>
          </cell>
          <cell r="N471" t="str">
            <v>1</v>
          </cell>
          <cell r="Q471">
            <v>32599</v>
          </cell>
          <cell r="R471" t="str">
            <v>平成</v>
          </cell>
          <cell r="S471">
            <v>1</v>
          </cell>
          <cell r="T471">
            <v>4</v>
          </cell>
          <cell r="AB471">
            <v>350000</v>
          </cell>
          <cell r="AC471" t="str">
            <v>県央地先水域（常陸那珂港）</v>
          </cell>
          <cell r="AD471" t="str">
            <v>Ａ</v>
          </cell>
          <cell r="AE471" t="str">
            <v>イ</v>
          </cell>
          <cell r="AF471">
            <v>15</v>
          </cell>
          <cell r="AI471" t="str">
            <v>太平洋</v>
          </cell>
          <cell r="AQ471" t="str">
            <v/>
          </cell>
          <cell r="AR471" t="str">
            <v>標準活性汚泥法</v>
          </cell>
          <cell r="AS471" t="str">
            <v>0800381001</v>
          </cell>
          <cell r="AT471" t="str">
            <v/>
          </cell>
          <cell r="AU471" t="str">
            <v>10</v>
          </cell>
          <cell r="AV471" t="str">
            <v>10</v>
          </cell>
          <cell r="AW471">
            <v>0</v>
          </cell>
          <cell r="AX471">
            <v>0</v>
          </cell>
          <cell r="AY471">
            <v>0</v>
          </cell>
          <cell r="AZ471">
            <v>0</v>
          </cell>
          <cell r="BA471">
            <v>0</v>
          </cell>
          <cell r="BD471" t="str">
            <v/>
          </cell>
          <cell r="BE471">
            <v>1</v>
          </cell>
          <cell r="BG471" t="str">
            <v>1100</v>
          </cell>
        </row>
        <row r="472">
          <cell r="B472" t="str">
            <v>G080038106100200</v>
          </cell>
          <cell r="C472" t="str">
            <v>08.茨城県</v>
          </cell>
          <cell r="D472" t="str">
            <v>003</v>
          </cell>
          <cell r="E472" t="str">
            <v>那珂久慈流域</v>
          </cell>
          <cell r="F472" t="str">
            <v>81</v>
          </cell>
          <cell r="G472" t="str">
            <v>流域</v>
          </cell>
          <cell r="H472" t="str">
            <v>流域下水道</v>
          </cell>
          <cell r="I472" t="str">
            <v/>
          </cell>
          <cell r="J472" t="str">
            <v>002</v>
          </cell>
          <cell r="K472" t="str">
            <v>那珂久慈ブロック広域汚泥処理施設</v>
          </cell>
          <cell r="N472" t="str">
            <v>1</v>
          </cell>
          <cell r="Q472">
            <v>35886</v>
          </cell>
          <cell r="R472" t="str">
            <v>平成</v>
          </cell>
          <cell r="S472">
            <v>10</v>
          </cell>
          <cell r="T472">
            <v>4</v>
          </cell>
          <cell r="AB472">
            <v>350000</v>
          </cell>
          <cell r="AC472" t="str">
            <v>該当しない</v>
          </cell>
          <cell r="AI472" t="str">
            <v>該当しない</v>
          </cell>
          <cell r="AQ472" t="str">
            <v/>
          </cell>
          <cell r="AR472" t="str">
            <v/>
          </cell>
          <cell r="AS472" t="str">
            <v>0800381002</v>
          </cell>
          <cell r="AT472" t="str">
            <v/>
          </cell>
          <cell r="AU472" t="str">
            <v>10</v>
          </cell>
          <cell r="AV472" t="str">
            <v>10</v>
          </cell>
          <cell r="AW472">
            <v>0</v>
          </cell>
          <cell r="AX472">
            <v>0</v>
          </cell>
          <cell r="AY472">
            <v>0</v>
          </cell>
          <cell r="AZ472">
            <v>0</v>
          </cell>
          <cell r="BA472">
            <v>0</v>
          </cell>
          <cell r="BD472" t="str">
            <v/>
          </cell>
          <cell r="BE472">
            <v>1</v>
          </cell>
          <cell r="BG472" t="str">
            <v>0100</v>
          </cell>
        </row>
        <row r="473">
          <cell r="B473" t="str">
            <v>G080048106100100</v>
          </cell>
          <cell r="C473" t="str">
            <v>08.茨城県</v>
          </cell>
          <cell r="D473" t="str">
            <v>004</v>
          </cell>
          <cell r="E473" t="str">
            <v>霞ヶ浦水郷流域</v>
          </cell>
          <cell r="F473" t="str">
            <v>81</v>
          </cell>
          <cell r="G473" t="str">
            <v>流域</v>
          </cell>
          <cell r="H473" t="str">
            <v>流域下水道</v>
          </cell>
          <cell r="I473" t="str">
            <v/>
          </cell>
          <cell r="J473" t="str">
            <v>001</v>
          </cell>
          <cell r="K473" t="str">
            <v>潮来浄化センター</v>
          </cell>
          <cell r="M473" t="str">
            <v>1</v>
          </cell>
          <cell r="N473" t="str">
            <v>1</v>
          </cell>
          <cell r="Q473">
            <v>31503</v>
          </cell>
          <cell r="R473" t="str">
            <v>昭和</v>
          </cell>
          <cell r="S473">
            <v>61</v>
          </cell>
          <cell r="T473">
            <v>4</v>
          </cell>
          <cell r="AB473">
            <v>42700</v>
          </cell>
          <cell r="AC473" t="str">
            <v>常陸利根川（全域）</v>
          </cell>
          <cell r="AD473" t="str">
            <v>Ａ</v>
          </cell>
          <cell r="AE473" t="str">
            <v>ハ</v>
          </cell>
          <cell r="AF473">
            <v>3</v>
          </cell>
          <cell r="AG473">
            <v>12</v>
          </cell>
          <cell r="AH473">
            <v>0.9</v>
          </cell>
          <cell r="AK473" t="str">
            <v>常陸利根川</v>
          </cell>
          <cell r="AL473" t="str">
            <v>鰐川取水口</v>
          </cell>
          <cell r="AN473">
            <v>5.5</v>
          </cell>
          <cell r="AO473" t="str">
            <v>神栖市</v>
          </cell>
          <cell r="AQ473" t="str">
            <v/>
          </cell>
          <cell r="AR473" t="str">
            <v>循環式硝化脱窒法</v>
          </cell>
          <cell r="AS473" t="str">
            <v>0800481001</v>
          </cell>
          <cell r="AT473" t="str">
            <v/>
          </cell>
          <cell r="AU473" t="str">
            <v>10</v>
          </cell>
          <cell r="AV473" t="str">
            <v>10</v>
          </cell>
          <cell r="AW473">
            <v>0</v>
          </cell>
          <cell r="AX473">
            <v>0</v>
          </cell>
          <cell r="AY473">
            <v>0</v>
          </cell>
          <cell r="AZ473">
            <v>0</v>
          </cell>
          <cell r="BA473">
            <v>0</v>
          </cell>
          <cell r="BD473" t="str">
            <v/>
          </cell>
          <cell r="BE473">
            <v>1</v>
          </cell>
          <cell r="BG473" t="str">
            <v>1100</v>
          </cell>
        </row>
        <row r="474">
          <cell r="B474" t="str">
            <v>G080058106100100</v>
          </cell>
          <cell r="C474" t="str">
            <v>08.茨城県</v>
          </cell>
          <cell r="D474" t="str">
            <v>005</v>
          </cell>
          <cell r="E474" t="str">
            <v>利根左岸さしま流域</v>
          </cell>
          <cell r="F474" t="str">
            <v>81</v>
          </cell>
          <cell r="G474" t="str">
            <v>流域</v>
          </cell>
          <cell r="H474" t="str">
            <v>流域下水道</v>
          </cell>
          <cell r="I474" t="str">
            <v/>
          </cell>
          <cell r="J474" t="str">
            <v>001</v>
          </cell>
          <cell r="K474" t="str">
            <v>さしまアクアステーション</v>
          </cell>
          <cell r="M474" t="str">
            <v>1</v>
          </cell>
          <cell r="N474" t="str">
            <v>1</v>
          </cell>
          <cell r="Q474">
            <v>35582</v>
          </cell>
          <cell r="R474" t="str">
            <v>平成</v>
          </cell>
          <cell r="S474">
            <v>9</v>
          </cell>
          <cell r="T474">
            <v>6</v>
          </cell>
          <cell r="AB474">
            <v>68000</v>
          </cell>
          <cell r="AC474" t="str">
            <v>利根川下流水域</v>
          </cell>
          <cell r="AD474" t="str">
            <v>Ｃ</v>
          </cell>
          <cell r="AE474" t="str">
            <v>イ</v>
          </cell>
          <cell r="AF474">
            <v>8</v>
          </cell>
          <cell r="AK474" t="str">
            <v>利根川</v>
          </cell>
          <cell r="AL474" t="str">
            <v>利根川取水場</v>
          </cell>
          <cell r="AN474">
            <v>14.5</v>
          </cell>
          <cell r="AO474" t="str">
            <v>常総市</v>
          </cell>
          <cell r="AQ474" t="str">
            <v/>
          </cell>
          <cell r="AR474" t="str">
            <v>標準活性汚泥法</v>
          </cell>
          <cell r="AS474" t="str">
            <v>0800581001</v>
          </cell>
          <cell r="AT474" t="str">
            <v/>
          </cell>
          <cell r="AU474" t="str">
            <v>10</v>
          </cell>
          <cell r="AV474" t="str">
            <v>10</v>
          </cell>
          <cell r="AW474">
            <v>0</v>
          </cell>
          <cell r="AX474">
            <v>0</v>
          </cell>
          <cell r="AY474">
            <v>0</v>
          </cell>
          <cell r="AZ474">
            <v>0</v>
          </cell>
          <cell r="BA474">
            <v>0</v>
          </cell>
          <cell r="BD474" t="str">
            <v/>
          </cell>
          <cell r="BE474">
            <v>1</v>
          </cell>
          <cell r="BG474" t="str">
            <v>1100</v>
          </cell>
        </row>
        <row r="475">
          <cell r="B475" t="str">
            <v>G080068106100100</v>
          </cell>
          <cell r="C475" t="str">
            <v>08.茨城県</v>
          </cell>
          <cell r="D475" t="str">
            <v>006</v>
          </cell>
          <cell r="E475" t="str">
            <v>鬼怒小貝流域</v>
          </cell>
          <cell r="F475" t="str">
            <v>81</v>
          </cell>
          <cell r="G475" t="str">
            <v>流域</v>
          </cell>
          <cell r="H475" t="str">
            <v>流域下水道</v>
          </cell>
          <cell r="I475" t="str">
            <v/>
          </cell>
          <cell r="J475" t="str">
            <v>001</v>
          </cell>
          <cell r="K475" t="str">
            <v>きぬアクアステーション</v>
          </cell>
          <cell r="M475" t="str">
            <v>1</v>
          </cell>
          <cell r="N475" t="str">
            <v>1</v>
          </cell>
          <cell r="Q475">
            <v>36342</v>
          </cell>
          <cell r="R475" t="str">
            <v>平成</v>
          </cell>
          <cell r="S475">
            <v>11</v>
          </cell>
          <cell r="T475">
            <v>7</v>
          </cell>
          <cell r="AB475">
            <v>147400</v>
          </cell>
          <cell r="AC475" t="str">
            <v>鬼怒川</v>
          </cell>
          <cell r="AD475" t="str">
            <v>Ａ</v>
          </cell>
          <cell r="AE475" t="str">
            <v>ロ</v>
          </cell>
          <cell r="AF475">
            <v>15</v>
          </cell>
          <cell r="AI475" t="str">
            <v>江連用水路支川</v>
          </cell>
          <cell r="AK475" t="str">
            <v>鬼怒川</v>
          </cell>
          <cell r="AL475" t="str">
            <v>水海道浄水場</v>
          </cell>
          <cell r="AN475">
            <v>24</v>
          </cell>
          <cell r="AO475" t="str">
            <v>守谷市</v>
          </cell>
          <cell r="AQ475" t="str">
            <v/>
          </cell>
          <cell r="AR475" t="str">
            <v>標準活性汚泥法</v>
          </cell>
          <cell r="AS475" t="str">
            <v>0800681001</v>
          </cell>
          <cell r="AT475" t="str">
            <v/>
          </cell>
          <cell r="AU475" t="str">
            <v>10</v>
          </cell>
          <cell r="AV475" t="str">
            <v>10</v>
          </cell>
          <cell r="AW475">
            <v>0</v>
          </cell>
          <cell r="AX475">
            <v>0</v>
          </cell>
          <cell r="AY475">
            <v>0</v>
          </cell>
          <cell r="AZ475">
            <v>0</v>
          </cell>
          <cell r="BA475">
            <v>0</v>
          </cell>
          <cell r="BD475" t="str">
            <v/>
          </cell>
          <cell r="BE475">
            <v>1</v>
          </cell>
          <cell r="BG475" t="str">
            <v>1100</v>
          </cell>
        </row>
        <row r="476">
          <cell r="B476" t="str">
            <v>G080078106100100</v>
          </cell>
          <cell r="C476" t="str">
            <v>08.茨城県</v>
          </cell>
          <cell r="D476" t="str">
            <v>007</v>
          </cell>
          <cell r="E476" t="str">
            <v>小貝川東部流域</v>
          </cell>
          <cell r="F476" t="str">
            <v>81</v>
          </cell>
          <cell r="G476" t="str">
            <v>流域</v>
          </cell>
          <cell r="H476" t="str">
            <v>流域下水道</v>
          </cell>
          <cell r="I476" t="str">
            <v/>
          </cell>
          <cell r="J476" t="str">
            <v>001</v>
          </cell>
          <cell r="K476" t="str">
            <v>小貝川東部浄化センター</v>
          </cell>
          <cell r="M476" t="str">
            <v>1</v>
          </cell>
          <cell r="N476" t="str">
            <v>1</v>
          </cell>
          <cell r="Q476">
            <v>37712</v>
          </cell>
          <cell r="R476" t="str">
            <v>平成</v>
          </cell>
          <cell r="S476">
            <v>15</v>
          </cell>
          <cell r="T476">
            <v>4</v>
          </cell>
          <cell r="AB476">
            <v>168900</v>
          </cell>
          <cell r="AC476" t="str">
            <v>小貝川（全域）茨城県域</v>
          </cell>
          <cell r="AD476" t="str">
            <v>Ａ</v>
          </cell>
          <cell r="AE476" t="str">
            <v>ハ</v>
          </cell>
          <cell r="AF476">
            <v>15</v>
          </cell>
          <cell r="AI476" t="str">
            <v>小貝川</v>
          </cell>
          <cell r="AK476" t="str">
            <v>利根川</v>
          </cell>
          <cell r="AQ476" t="str">
            <v/>
          </cell>
          <cell r="AR476" t="str">
            <v>標準活性汚泥法</v>
          </cell>
          <cell r="AS476" t="str">
            <v>0800781001</v>
          </cell>
          <cell r="AT476" t="str">
            <v/>
          </cell>
          <cell r="AU476" t="str">
            <v>10</v>
          </cell>
          <cell r="AV476" t="str">
            <v>10</v>
          </cell>
          <cell r="AW476">
            <v>0</v>
          </cell>
          <cell r="AX476">
            <v>0</v>
          </cell>
          <cell r="AY476">
            <v>0</v>
          </cell>
          <cell r="AZ476">
            <v>0</v>
          </cell>
          <cell r="BA476">
            <v>0</v>
          </cell>
          <cell r="BD476" t="str">
            <v/>
          </cell>
          <cell r="BE476">
            <v>1</v>
          </cell>
          <cell r="BG476" t="str">
            <v>1100</v>
          </cell>
        </row>
        <row r="477">
          <cell r="B477" t="str">
            <v>G080210306100100</v>
          </cell>
          <cell r="C477" t="str">
            <v>08.茨城県</v>
          </cell>
          <cell r="D477" t="str">
            <v>021</v>
          </cell>
          <cell r="E477" t="str">
            <v>鹿島臨海都市計画下水道</v>
          </cell>
          <cell r="F477" t="str">
            <v>03</v>
          </cell>
          <cell r="G477" t="str">
            <v>特定 単独</v>
          </cell>
          <cell r="H477" t="str">
            <v>特定公共下水道</v>
          </cell>
          <cell r="I477" t="str">
            <v>単独</v>
          </cell>
          <cell r="J477" t="str">
            <v>001</v>
          </cell>
          <cell r="K477" t="str">
            <v>深芝下水処理場</v>
          </cell>
          <cell r="M477" t="str">
            <v>1</v>
          </cell>
          <cell r="N477" t="str">
            <v>1</v>
          </cell>
          <cell r="Q477">
            <v>25812</v>
          </cell>
          <cell r="R477" t="str">
            <v>昭和</v>
          </cell>
          <cell r="S477">
            <v>45</v>
          </cell>
          <cell r="T477">
            <v>9</v>
          </cell>
          <cell r="AB477">
            <v>100000</v>
          </cell>
          <cell r="AC477" t="str">
            <v>太平洋（鹿島灘）</v>
          </cell>
          <cell r="AD477" t="str">
            <v>Ｃ</v>
          </cell>
          <cell r="AE477" t="str">
            <v>イ</v>
          </cell>
          <cell r="AF477">
            <v>10</v>
          </cell>
          <cell r="AI477" t="str">
            <v>鹿島灘</v>
          </cell>
          <cell r="AQ477" t="str">
            <v/>
          </cell>
          <cell r="AR477" t="str">
            <v>標準活性汚泥法</v>
          </cell>
          <cell r="AS477" t="str">
            <v>0802103001</v>
          </cell>
          <cell r="AT477" t="str">
            <v/>
          </cell>
          <cell r="AU477" t="str">
            <v>10</v>
          </cell>
          <cell r="AV477" t="str">
            <v>10</v>
          </cell>
          <cell r="AW477">
            <v>0</v>
          </cell>
          <cell r="AX477">
            <v>0</v>
          </cell>
          <cell r="AY477">
            <v>0</v>
          </cell>
          <cell r="AZ477">
            <v>0</v>
          </cell>
          <cell r="BA477">
            <v>0</v>
          </cell>
          <cell r="BD477" t="str">
            <v/>
          </cell>
          <cell r="BE477">
            <v>1</v>
          </cell>
          <cell r="BG477" t="str">
            <v>1100</v>
          </cell>
        </row>
        <row r="478">
          <cell r="B478" t="str">
            <v>G082010106100100</v>
          </cell>
          <cell r="C478" t="str">
            <v>08.茨城県</v>
          </cell>
          <cell r="D478" t="str">
            <v>201</v>
          </cell>
          <cell r="E478" t="str">
            <v>水戸市</v>
          </cell>
          <cell r="F478" t="str">
            <v>01</v>
          </cell>
          <cell r="G478" t="str">
            <v>公共 単独</v>
          </cell>
          <cell r="H478" t="str">
            <v>公共下水道</v>
          </cell>
          <cell r="I478" t="str">
            <v>単独</v>
          </cell>
          <cell r="J478" t="str">
            <v>001</v>
          </cell>
          <cell r="K478" t="str">
            <v>水戸市浄化センター</v>
          </cell>
          <cell r="M478" t="str">
            <v>1</v>
          </cell>
          <cell r="N478" t="str">
            <v>1</v>
          </cell>
          <cell r="Q478">
            <v>27211</v>
          </cell>
          <cell r="R478" t="str">
            <v>昭和</v>
          </cell>
          <cell r="S478">
            <v>49</v>
          </cell>
          <cell r="T478">
            <v>7</v>
          </cell>
          <cell r="AB478">
            <v>56300</v>
          </cell>
          <cell r="AC478" t="str">
            <v>桜川</v>
          </cell>
          <cell r="AD478" t="str">
            <v>Ｃ</v>
          </cell>
          <cell r="AE478" t="str">
            <v>ロ</v>
          </cell>
          <cell r="AF478">
            <v>15</v>
          </cell>
          <cell r="AK478" t="str">
            <v>桜川</v>
          </cell>
          <cell r="AQ478" t="str">
            <v/>
          </cell>
          <cell r="AR478" t="str">
            <v>標準活性汚泥法</v>
          </cell>
          <cell r="AS478" t="str">
            <v>0820101001</v>
          </cell>
          <cell r="AT478" t="str">
            <v/>
          </cell>
          <cell r="AU478" t="str">
            <v>10</v>
          </cell>
          <cell r="AV478" t="str">
            <v>10</v>
          </cell>
          <cell r="AW478">
            <v>0</v>
          </cell>
          <cell r="AX478">
            <v>0</v>
          </cell>
          <cell r="AY478">
            <v>0</v>
          </cell>
          <cell r="AZ478">
            <v>0</v>
          </cell>
          <cell r="BA478">
            <v>0</v>
          </cell>
          <cell r="BD478" t="str">
            <v/>
          </cell>
          <cell r="BE478">
            <v>1</v>
          </cell>
          <cell r="BG478" t="str">
            <v>1100</v>
          </cell>
        </row>
        <row r="479">
          <cell r="B479" t="str">
            <v>G082010106100200</v>
          </cell>
          <cell r="C479" t="str">
            <v>08.茨城県</v>
          </cell>
          <cell r="D479" t="str">
            <v>201</v>
          </cell>
          <cell r="E479" t="str">
            <v>水戸市</v>
          </cell>
          <cell r="F479" t="str">
            <v>01</v>
          </cell>
          <cell r="G479" t="str">
            <v>公共 単独</v>
          </cell>
          <cell r="H479" t="str">
            <v>公共下水道</v>
          </cell>
          <cell r="I479" t="str">
            <v>単独</v>
          </cell>
          <cell r="J479" t="str">
            <v>002</v>
          </cell>
          <cell r="K479" t="str">
            <v>双葉台浄化センター</v>
          </cell>
          <cell r="M479" t="str">
            <v>1</v>
          </cell>
          <cell r="N479" t="str">
            <v>1</v>
          </cell>
          <cell r="Q479">
            <v>33695</v>
          </cell>
          <cell r="R479" t="str">
            <v>平成</v>
          </cell>
          <cell r="S479">
            <v>4</v>
          </cell>
          <cell r="T479">
            <v>4</v>
          </cell>
          <cell r="AB479">
            <v>7500</v>
          </cell>
          <cell r="AC479" t="str">
            <v>桜川</v>
          </cell>
          <cell r="AD479" t="str">
            <v>Ｃ</v>
          </cell>
          <cell r="AE479" t="str">
            <v>ロ</v>
          </cell>
          <cell r="AF479">
            <v>15</v>
          </cell>
          <cell r="AK479" t="str">
            <v>沢渡川</v>
          </cell>
          <cell r="AQ479" t="str">
            <v/>
          </cell>
          <cell r="AR479" t="str">
            <v>標準活性汚泥法</v>
          </cell>
          <cell r="AS479" t="str">
            <v>0820101002</v>
          </cell>
          <cell r="AT479" t="str">
            <v/>
          </cell>
          <cell r="AU479" t="str">
            <v>10</v>
          </cell>
          <cell r="AV479" t="str">
            <v>10</v>
          </cell>
          <cell r="AW479">
            <v>0</v>
          </cell>
          <cell r="AX479">
            <v>0</v>
          </cell>
          <cell r="AY479">
            <v>0</v>
          </cell>
          <cell r="AZ479">
            <v>0</v>
          </cell>
          <cell r="BA479">
            <v>0</v>
          </cell>
          <cell r="BD479" t="str">
            <v/>
          </cell>
          <cell r="BE479">
            <v>1</v>
          </cell>
          <cell r="BG479" t="str">
            <v>1100</v>
          </cell>
        </row>
        <row r="480">
          <cell r="B480" t="str">
            <v>G082010106100300</v>
          </cell>
          <cell r="C480" t="str">
            <v>08.茨城県</v>
          </cell>
          <cell r="D480" t="str">
            <v>201</v>
          </cell>
          <cell r="E480" t="str">
            <v>水戸市</v>
          </cell>
          <cell r="F480" t="str">
            <v>01</v>
          </cell>
          <cell r="G480" t="str">
            <v>公共 単独</v>
          </cell>
          <cell r="H480" t="str">
            <v>公共下水道</v>
          </cell>
          <cell r="I480" t="str">
            <v>単独</v>
          </cell>
          <cell r="J480" t="str">
            <v>003</v>
          </cell>
          <cell r="K480" t="str">
            <v>大塚赤塚浄化センター</v>
          </cell>
          <cell r="M480" t="str">
            <v>1</v>
          </cell>
          <cell r="N480" t="str">
            <v>1</v>
          </cell>
          <cell r="Q480">
            <v>34851</v>
          </cell>
          <cell r="R480" t="str">
            <v>平成</v>
          </cell>
          <cell r="S480">
            <v>7</v>
          </cell>
          <cell r="T480">
            <v>6</v>
          </cell>
          <cell r="AB480">
            <v>1800</v>
          </cell>
          <cell r="AC480" t="str">
            <v>桜川</v>
          </cell>
          <cell r="AD480" t="str">
            <v>Ｃ</v>
          </cell>
          <cell r="AE480" t="str">
            <v>ロ</v>
          </cell>
          <cell r="AF480">
            <v>15</v>
          </cell>
          <cell r="AK480" t="str">
            <v>沢渡川</v>
          </cell>
          <cell r="AQ480" t="str">
            <v/>
          </cell>
          <cell r="AR480" t="str">
            <v>回分式活性汚泥法</v>
          </cell>
          <cell r="AS480" t="str">
            <v>0820101003</v>
          </cell>
          <cell r="AT480" t="str">
            <v/>
          </cell>
          <cell r="AU480" t="str">
            <v>10</v>
          </cell>
          <cell r="AV480" t="str">
            <v>10</v>
          </cell>
          <cell r="AW480">
            <v>0</v>
          </cell>
          <cell r="AX480">
            <v>0</v>
          </cell>
          <cell r="AY480">
            <v>0</v>
          </cell>
          <cell r="AZ480">
            <v>0</v>
          </cell>
          <cell r="BA480">
            <v>0</v>
          </cell>
          <cell r="BD480" t="str">
            <v/>
          </cell>
          <cell r="BE480">
            <v>1</v>
          </cell>
          <cell r="BG480" t="str">
            <v>1100</v>
          </cell>
        </row>
        <row r="481">
          <cell r="B481" t="str">
            <v>G082010106100400</v>
          </cell>
          <cell r="C481" t="str">
            <v>08.茨城県</v>
          </cell>
          <cell r="D481" t="str">
            <v>201</v>
          </cell>
          <cell r="E481" t="str">
            <v>水戸市</v>
          </cell>
          <cell r="F481" t="str">
            <v>01</v>
          </cell>
          <cell r="G481" t="str">
            <v>公共 単独</v>
          </cell>
          <cell r="H481" t="str">
            <v>公共下水道</v>
          </cell>
          <cell r="I481" t="str">
            <v>単独</v>
          </cell>
          <cell r="J481" t="str">
            <v>004</v>
          </cell>
          <cell r="K481" t="str">
            <v>内原浄化センター</v>
          </cell>
          <cell r="M481" t="str">
            <v>1</v>
          </cell>
          <cell r="N481" t="str">
            <v>1</v>
          </cell>
          <cell r="Q481">
            <v>35521</v>
          </cell>
          <cell r="R481" t="str">
            <v>平成</v>
          </cell>
          <cell r="S481">
            <v>9</v>
          </cell>
          <cell r="T481">
            <v>4</v>
          </cell>
          <cell r="AB481">
            <v>32000</v>
          </cell>
          <cell r="AC481" t="str">
            <v>涸沼前川</v>
          </cell>
          <cell r="AD481" t="str">
            <v>Ｂ</v>
          </cell>
          <cell r="AE481" t="str">
            <v>ロ</v>
          </cell>
          <cell r="AF481">
            <v>10</v>
          </cell>
          <cell r="AK481" t="str">
            <v>涸沼前川</v>
          </cell>
          <cell r="AQ481" t="str">
            <v/>
          </cell>
          <cell r="AR481" t="str">
            <v>オキシディションディッチ法</v>
          </cell>
          <cell r="AS481" t="str">
            <v>0820101004</v>
          </cell>
          <cell r="AT481" t="str">
            <v/>
          </cell>
          <cell r="AU481" t="str">
            <v>10</v>
          </cell>
          <cell r="AV481" t="str">
            <v>10</v>
          </cell>
          <cell r="AW481">
            <v>0</v>
          </cell>
          <cell r="AX481">
            <v>0</v>
          </cell>
          <cell r="AY481">
            <v>0</v>
          </cell>
          <cell r="AZ481">
            <v>0</v>
          </cell>
          <cell r="BA481">
            <v>0</v>
          </cell>
          <cell r="BD481" t="str">
            <v/>
          </cell>
          <cell r="BE481">
            <v>1</v>
          </cell>
          <cell r="BG481" t="str">
            <v>1100</v>
          </cell>
        </row>
        <row r="482">
          <cell r="B482" t="str">
            <v>G082010106100500</v>
          </cell>
          <cell r="C482" t="str">
            <v>08.茨城県</v>
          </cell>
          <cell r="D482" t="str">
            <v>201</v>
          </cell>
          <cell r="E482" t="str">
            <v>水戸市</v>
          </cell>
          <cell r="F482" t="str">
            <v>01</v>
          </cell>
          <cell r="G482" t="str">
            <v>公共 単独</v>
          </cell>
          <cell r="H482" t="str">
            <v>公共下水道</v>
          </cell>
          <cell r="I482" t="str">
            <v>単独</v>
          </cell>
          <cell r="J482" t="str">
            <v>005</v>
          </cell>
          <cell r="K482" t="str">
            <v>けやき台浄化センター</v>
          </cell>
          <cell r="M482" t="str">
            <v>1</v>
          </cell>
          <cell r="N482" t="str">
            <v>1</v>
          </cell>
          <cell r="Q482">
            <v>34394</v>
          </cell>
          <cell r="R482" t="str">
            <v>平成</v>
          </cell>
          <cell r="S482">
            <v>6</v>
          </cell>
          <cell r="T482">
            <v>3</v>
          </cell>
          <cell r="AB482">
            <v>1900</v>
          </cell>
          <cell r="AC482" t="str">
            <v>涸沼川</v>
          </cell>
          <cell r="AD482" t="str">
            <v>Ａ</v>
          </cell>
          <cell r="AE482" t="str">
            <v>ロ</v>
          </cell>
          <cell r="AF482">
            <v>15</v>
          </cell>
          <cell r="AK482" t="str">
            <v>石川川</v>
          </cell>
          <cell r="AP482" t="str">
            <v>フレックスプラン</v>
          </cell>
          <cell r="AQ482" t="str">
            <v/>
          </cell>
          <cell r="AR482" t="str">
            <v>標準活性汚泥法</v>
          </cell>
          <cell r="AS482" t="str">
            <v>0820101005</v>
          </cell>
          <cell r="AT482" t="str">
            <v/>
          </cell>
          <cell r="AU482" t="str">
            <v>10</v>
          </cell>
          <cell r="AV482" t="str">
            <v>10</v>
          </cell>
          <cell r="AW482">
            <v>0</v>
          </cell>
          <cell r="AX482">
            <v>0</v>
          </cell>
          <cell r="AY482">
            <v>0</v>
          </cell>
          <cell r="AZ482">
            <v>0</v>
          </cell>
          <cell r="BA482">
            <v>0</v>
          </cell>
          <cell r="BD482" t="str">
            <v/>
          </cell>
          <cell r="BE482">
            <v>1</v>
          </cell>
          <cell r="BG482" t="str">
            <v>1100</v>
          </cell>
        </row>
        <row r="483">
          <cell r="B483" t="str">
            <v>G082010206100600</v>
          </cell>
          <cell r="C483" t="str">
            <v>08.茨城県</v>
          </cell>
          <cell r="D483" t="str">
            <v>201</v>
          </cell>
          <cell r="E483" t="str">
            <v>水戸市</v>
          </cell>
          <cell r="F483" t="str">
            <v>02</v>
          </cell>
          <cell r="G483" t="str">
            <v>特環 単独</v>
          </cell>
          <cell r="H483" t="str">
            <v>特定環境保全公共下水道</v>
          </cell>
          <cell r="I483" t="str">
            <v>単独</v>
          </cell>
          <cell r="J483" t="str">
            <v>006</v>
          </cell>
          <cell r="K483" t="str">
            <v>水府青柳浄化センター</v>
          </cell>
          <cell r="M483" t="str">
            <v>1</v>
          </cell>
          <cell r="N483" t="str">
            <v>1</v>
          </cell>
          <cell r="Q483">
            <v>34759</v>
          </cell>
          <cell r="R483" t="str">
            <v>平成</v>
          </cell>
          <cell r="S483">
            <v>7</v>
          </cell>
          <cell r="T483">
            <v>3</v>
          </cell>
          <cell r="AB483">
            <v>3900</v>
          </cell>
          <cell r="AC483" t="str">
            <v>那珂川</v>
          </cell>
          <cell r="AD483" t="str">
            <v>Ａ</v>
          </cell>
          <cell r="AE483" t="str">
            <v>ロ</v>
          </cell>
          <cell r="AF483">
            <v>15</v>
          </cell>
          <cell r="AI483" t="str">
            <v>下江川</v>
          </cell>
          <cell r="AK483" t="str">
            <v>那珂川</v>
          </cell>
          <cell r="AQ483" t="str">
            <v/>
          </cell>
          <cell r="AR483" t="str">
            <v>オキシディションディッチ法</v>
          </cell>
          <cell r="AS483" t="str">
            <v>0820102006</v>
          </cell>
          <cell r="AT483" t="str">
            <v/>
          </cell>
          <cell r="AU483" t="str">
            <v>10</v>
          </cell>
          <cell r="AV483" t="str">
            <v>10</v>
          </cell>
          <cell r="AW483">
            <v>0</v>
          </cell>
          <cell r="AX483">
            <v>0</v>
          </cell>
          <cell r="AY483">
            <v>0</v>
          </cell>
          <cell r="AZ483">
            <v>0</v>
          </cell>
          <cell r="BA483">
            <v>0</v>
          </cell>
          <cell r="BD483" t="str">
            <v/>
          </cell>
          <cell r="BE483">
            <v>1</v>
          </cell>
          <cell r="BG483" t="str">
            <v>1100</v>
          </cell>
        </row>
        <row r="484">
          <cell r="B484" t="str">
            <v>G082020106100100</v>
          </cell>
          <cell r="C484" t="str">
            <v>08.茨城県</v>
          </cell>
          <cell r="D484" t="str">
            <v>202</v>
          </cell>
          <cell r="E484" t="str">
            <v>日立市</v>
          </cell>
          <cell r="F484" t="str">
            <v>01</v>
          </cell>
          <cell r="G484" t="str">
            <v>公共 単独</v>
          </cell>
          <cell r="H484" t="str">
            <v>公共下水道</v>
          </cell>
          <cell r="I484" t="str">
            <v>単独</v>
          </cell>
          <cell r="J484" t="str">
            <v>001</v>
          </cell>
          <cell r="K484" t="str">
            <v>池の川処理場</v>
          </cell>
          <cell r="M484" t="str">
            <v>1</v>
          </cell>
          <cell r="N484" t="str">
            <v>1</v>
          </cell>
          <cell r="O484" t="str">
            <v>1</v>
          </cell>
          <cell r="P484" t="str">
            <v>1</v>
          </cell>
          <cell r="Q484">
            <v>26755</v>
          </cell>
          <cell r="R484" t="str">
            <v>昭和</v>
          </cell>
          <cell r="S484">
            <v>48</v>
          </cell>
          <cell r="T484">
            <v>4</v>
          </cell>
          <cell r="AB484">
            <v>23113</v>
          </cell>
          <cell r="AC484" t="str">
            <v>泉川河口地先</v>
          </cell>
          <cell r="AD484" t="str">
            <v>Ｂ</v>
          </cell>
          <cell r="AE484" t="str">
            <v>イ</v>
          </cell>
          <cell r="AF484">
            <v>15</v>
          </cell>
          <cell r="AI484" t="str">
            <v>普通河川　泉川</v>
          </cell>
          <cell r="AQ484" t="str">
            <v/>
          </cell>
          <cell r="AR484" t="str">
            <v>嫌気好気活性汚泥法</v>
          </cell>
          <cell r="AS484" t="str">
            <v>0820201001</v>
          </cell>
          <cell r="AT484" t="str">
            <v/>
          </cell>
          <cell r="AU484" t="str">
            <v>11</v>
          </cell>
          <cell r="AV484" t="str">
            <v>11</v>
          </cell>
          <cell r="AW484">
            <v>1</v>
          </cell>
          <cell r="AX484">
            <v>0</v>
          </cell>
          <cell r="AY484">
            <v>0</v>
          </cell>
          <cell r="AZ484">
            <v>0</v>
          </cell>
          <cell r="BA484">
            <v>0</v>
          </cell>
          <cell r="BD484" t="str">
            <v/>
          </cell>
          <cell r="BE484">
            <v>1</v>
          </cell>
          <cell r="BG484" t="str">
            <v>1111</v>
          </cell>
        </row>
        <row r="485">
          <cell r="B485" t="str">
            <v>G082040106100100</v>
          </cell>
          <cell r="C485" t="str">
            <v>08.茨城県</v>
          </cell>
          <cell r="D485" t="str">
            <v>204</v>
          </cell>
          <cell r="E485" t="str">
            <v>古河市</v>
          </cell>
          <cell r="F485" t="str">
            <v>01</v>
          </cell>
          <cell r="G485" t="str">
            <v>公共 単独</v>
          </cell>
          <cell r="H485" t="str">
            <v>公共下水道</v>
          </cell>
          <cell r="I485" t="str">
            <v>単独</v>
          </cell>
          <cell r="J485" t="str">
            <v>001</v>
          </cell>
          <cell r="K485" t="str">
            <v>総和水処理センター</v>
          </cell>
          <cell r="M485" t="str">
            <v>1</v>
          </cell>
          <cell r="N485" t="str">
            <v>1</v>
          </cell>
          <cell r="Q485">
            <v>31048</v>
          </cell>
          <cell r="R485" t="str">
            <v>昭和</v>
          </cell>
          <cell r="S485">
            <v>60</v>
          </cell>
          <cell r="T485">
            <v>1</v>
          </cell>
          <cell r="AB485">
            <v>92600</v>
          </cell>
          <cell r="AC485" t="str">
            <v>下大野水路</v>
          </cell>
          <cell r="AD485" t="str">
            <v>Ｄ</v>
          </cell>
          <cell r="AE485" t="str">
            <v>イ</v>
          </cell>
          <cell r="AF485">
            <v>10</v>
          </cell>
          <cell r="AI485" t="str">
            <v>下大野都市下水路</v>
          </cell>
          <cell r="AK485" t="str">
            <v>利根川</v>
          </cell>
          <cell r="AL485" t="str">
            <v>川妻揚水機場</v>
          </cell>
          <cell r="AN485">
            <v>2.5</v>
          </cell>
          <cell r="AO485" t="str">
            <v>五霞町</v>
          </cell>
          <cell r="AQ485" t="str">
            <v/>
          </cell>
          <cell r="AR485" t="str">
            <v>標準活性汚泥法</v>
          </cell>
          <cell r="AS485" t="str">
            <v>0820401001</v>
          </cell>
          <cell r="AT485" t="str">
            <v/>
          </cell>
          <cell r="AU485" t="str">
            <v>10</v>
          </cell>
          <cell r="AV485" t="str">
            <v>10</v>
          </cell>
          <cell r="AW485">
            <v>0</v>
          </cell>
          <cell r="AX485">
            <v>0</v>
          </cell>
          <cell r="AY485">
            <v>0</v>
          </cell>
          <cell r="AZ485">
            <v>0</v>
          </cell>
          <cell r="BA485">
            <v>0</v>
          </cell>
          <cell r="BD485" t="str">
            <v/>
          </cell>
          <cell r="BE485">
            <v>1</v>
          </cell>
          <cell r="BG485" t="str">
            <v>1100</v>
          </cell>
        </row>
        <row r="486">
          <cell r="B486" t="str">
            <v>G082040106100200</v>
          </cell>
          <cell r="C486" t="str">
            <v>08.茨城県</v>
          </cell>
          <cell r="D486" t="str">
            <v>204</v>
          </cell>
          <cell r="E486" t="str">
            <v>古河市</v>
          </cell>
          <cell r="F486" t="str">
            <v>01</v>
          </cell>
          <cell r="G486" t="str">
            <v>公共 単独</v>
          </cell>
          <cell r="H486" t="str">
            <v>公共下水道</v>
          </cell>
          <cell r="I486" t="str">
            <v>単独</v>
          </cell>
          <cell r="J486" t="str">
            <v>002</v>
          </cell>
          <cell r="K486" t="str">
            <v>古河浄化センター</v>
          </cell>
          <cell r="M486" t="str">
            <v>1</v>
          </cell>
          <cell r="N486" t="str">
            <v>1</v>
          </cell>
          <cell r="Q486">
            <v>31472</v>
          </cell>
          <cell r="R486" t="str">
            <v>昭和</v>
          </cell>
          <cell r="S486">
            <v>61</v>
          </cell>
          <cell r="T486">
            <v>3</v>
          </cell>
          <cell r="U486" t="str">
            <v>名称変更</v>
          </cell>
          <cell r="V486">
            <v>38596</v>
          </cell>
          <cell r="W486" t="str">
            <v>平成</v>
          </cell>
          <cell r="X486">
            <v>17</v>
          </cell>
          <cell r="Y486">
            <v>9</v>
          </cell>
          <cell r="Z486" t="str">
            <v>浄化センター</v>
          </cell>
          <cell r="AA486" t="str">
            <v>古河浄化センター</v>
          </cell>
          <cell r="AB486">
            <v>50500</v>
          </cell>
          <cell r="AC486" t="str">
            <v>利根川</v>
          </cell>
          <cell r="AD486" t="str">
            <v>Ａ</v>
          </cell>
          <cell r="AE486" t="str">
            <v>イ</v>
          </cell>
          <cell r="AF486">
            <v>10</v>
          </cell>
          <cell r="AK486" t="str">
            <v>利根川</v>
          </cell>
          <cell r="AL486" t="str">
            <v>川妻揚水機場</v>
          </cell>
          <cell r="AN486">
            <v>4</v>
          </cell>
          <cell r="AO486" t="str">
            <v>五霞町</v>
          </cell>
          <cell r="AQ486" t="str">
            <v/>
          </cell>
          <cell r="AR486" t="str">
            <v>標準活性汚泥法</v>
          </cell>
          <cell r="AS486" t="str">
            <v>0820401002</v>
          </cell>
          <cell r="AT486" t="str">
            <v/>
          </cell>
          <cell r="AU486" t="str">
            <v>10</v>
          </cell>
          <cell r="AV486" t="str">
            <v>10</v>
          </cell>
          <cell r="AW486">
            <v>0</v>
          </cell>
          <cell r="AX486">
            <v>0</v>
          </cell>
          <cell r="AY486">
            <v>0</v>
          </cell>
          <cell r="AZ486">
            <v>0</v>
          </cell>
          <cell r="BA486">
            <v>0</v>
          </cell>
          <cell r="BD486" t="str">
            <v/>
          </cell>
          <cell r="BE486">
            <v>1</v>
          </cell>
          <cell r="BG486" t="str">
            <v>1100</v>
          </cell>
        </row>
        <row r="487">
          <cell r="B487" t="str">
            <v>G082050106100100</v>
          </cell>
          <cell r="C487" t="str">
            <v>08.茨城県</v>
          </cell>
          <cell r="D487" t="str">
            <v>205</v>
          </cell>
          <cell r="E487" t="str">
            <v>石岡市</v>
          </cell>
          <cell r="F487" t="str">
            <v>01</v>
          </cell>
          <cell r="G487" t="str">
            <v>公共 単独</v>
          </cell>
          <cell r="H487" t="str">
            <v>公共下水道</v>
          </cell>
          <cell r="I487" t="str">
            <v>単独</v>
          </cell>
          <cell r="J487" t="str">
            <v>001</v>
          </cell>
          <cell r="K487" t="str">
            <v>八郷水処理センター</v>
          </cell>
          <cell r="M487" t="str">
            <v>1</v>
          </cell>
          <cell r="N487" t="str">
            <v>1</v>
          </cell>
          <cell r="Q487">
            <v>37530</v>
          </cell>
          <cell r="R487" t="str">
            <v>平成</v>
          </cell>
          <cell r="S487">
            <v>14</v>
          </cell>
          <cell r="T487">
            <v>10</v>
          </cell>
          <cell r="AB487">
            <v>45800</v>
          </cell>
          <cell r="AC487" t="str">
            <v>恋瀬川</v>
          </cell>
          <cell r="AD487" t="str">
            <v>Ａ</v>
          </cell>
          <cell r="AE487" t="str">
            <v>ハ</v>
          </cell>
          <cell r="AF487">
            <v>8</v>
          </cell>
          <cell r="AG487">
            <v>20</v>
          </cell>
          <cell r="AH487">
            <v>1</v>
          </cell>
          <cell r="AK487" t="str">
            <v>恋瀬川</v>
          </cell>
          <cell r="AQ487" t="str">
            <v/>
          </cell>
          <cell r="AR487" t="str">
            <v>嫌気無酸素好気法</v>
          </cell>
          <cell r="AS487" t="str">
            <v>0820501001</v>
          </cell>
          <cell r="AT487" t="str">
            <v/>
          </cell>
          <cell r="AU487" t="str">
            <v>10</v>
          </cell>
          <cell r="AV487" t="str">
            <v>10</v>
          </cell>
          <cell r="AW487">
            <v>0</v>
          </cell>
          <cell r="AX487">
            <v>0</v>
          </cell>
          <cell r="AY487">
            <v>0</v>
          </cell>
          <cell r="AZ487">
            <v>0</v>
          </cell>
          <cell r="BA487">
            <v>0</v>
          </cell>
          <cell r="BD487" t="str">
            <v/>
          </cell>
          <cell r="BE487">
            <v>1</v>
          </cell>
          <cell r="BG487" t="str">
            <v>1100</v>
          </cell>
        </row>
        <row r="488">
          <cell r="B488" t="str">
            <v>G082070106100100</v>
          </cell>
          <cell r="C488" t="str">
            <v>08.茨城県</v>
          </cell>
          <cell r="D488" t="str">
            <v>207</v>
          </cell>
          <cell r="E488" t="str">
            <v>結城市</v>
          </cell>
          <cell r="F488" t="str">
            <v>01</v>
          </cell>
          <cell r="G488" t="str">
            <v>公共 単独</v>
          </cell>
          <cell r="H488" t="str">
            <v>公共下水道</v>
          </cell>
          <cell r="I488" t="str">
            <v>単独</v>
          </cell>
          <cell r="J488" t="str">
            <v>001</v>
          </cell>
          <cell r="K488" t="str">
            <v>結城市下水浄化センター</v>
          </cell>
          <cell r="M488" t="str">
            <v>1</v>
          </cell>
          <cell r="N488" t="str">
            <v>1</v>
          </cell>
          <cell r="O488" t="str">
            <v>1</v>
          </cell>
          <cell r="P488" t="str">
            <v>1</v>
          </cell>
          <cell r="Q488">
            <v>28795</v>
          </cell>
          <cell r="R488" t="str">
            <v>昭和</v>
          </cell>
          <cell r="S488">
            <v>53</v>
          </cell>
          <cell r="T488">
            <v>11</v>
          </cell>
          <cell r="AB488">
            <v>50000</v>
          </cell>
          <cell r="AC488" t="str">
            <v>鬼怒川</v>
          </cell>
          <cell r="AD488" t="str">
            <v>Ａ</v>
          </cell>
          <cell r="AE488" t="str">
            <v>ロ</v>
          </cell>
          <cell r="AF488">
            <v>10</v>
          </cell>
          <cell r="AK488" t="str">
            <v>鬼怒川</v>
          </cell>
          <cell r="AL488" t="str">
            <v>鬼怒川取水口</v>
          </cell>
          <cell r="AN488">
            <v>37</v>
          </cell>
          <cell r="AO488" t="str">
            <v>常総市</v>
          </cell>
          <cell r="AQ488" t="str">
            <v/>
          </cell>
          <cell r="AR488" t="str">
            <v>標準活性汚泥法</v>
          </cell>
          <cell r="AS488" t="str">
            <v>0820701001</v>
          </cell>
          <cell r="AT488" t="str">
            <v/>
          </cell>
          <cell r="AU488" t="str">
            <v>11</v>
          </cell>
          <cell r="AV488" t="str">
            <v>10</v>
          </cell>
          <cell r="AW488">
            <v>1</v>
          </cell>
          <cell r="AX488">
            <v>0</v>
          </cell>
          <cell r="AY488">
            <v>-1</v>
          </cell>
          <cell r="AZ488">
            <v>0</v>
          </cell>
          <cell r="BA488">
            <v>1</v>
          </cell>
          <cell r="BC488" t="str">
            <v>コンポスト休止</v>
          </cell>
          <cell r="BD488" t="str">
            <v>コンポスト休止</v>
          </cell>
          <cell r="BE488">
            <v>1</v>
          </cell>
          <cell r="BG488" t="str">
            <v>1111</v>
          </cell>
        </row>
        <row r="489">
          <cell r="B489" t="str">
            <v>G082110106100100</v>
          </cell>
          <cell r="C489" t="str">
            <v>08.茨城県</v>
          </cell>
          <cell r="D489" t="str">
            <v>211</v>
          </cell>
          <cell r="E489" t="str">
            <v>常総市</v>
          </cell>
          <cell r="F489" t="str">
            <v>01</v>
          </cell>
          <cell r="G489" t="str">
            <v>公共 単独</v>
          </cell>
          <cell r="H489" t="str">
            <v>公共下水道</v>
          </cell>
          <cell r="I489" t="str">
            <v>単独</v>
          </cell>
          <cell r="J489" t="str">
            <v>001</v>
          </cell>
          <cell r="K489" t="str">
            <v>内守谷浄化センター</v>
          </cell>
          <cell r="M489" t="str">
            <v>1</v>
          </cell>
          <cell r="N489" t="str">
            <v>1</v>
          </cell>
          <cell r="Q489">
            <v>36251</v>
          </cell>
          <cell r="R489" t="str">
            <v>平成</v>
          </cell>
          <cell r="S489">
            <v>11</v>
          </cell>
          <cell r="T489">
            <v>4</v>
          </cell>
          <cell r="AB489">
            <v>7382</v>
          </cell>
          <cell r="AC489" t="str">
            <v>鬼怒川</v>
          </cell>
          <cell r="AD489" t="str">
            <v>Ａ</v>
          </cell>
          <cell r="AE489" t="str">
            <v>ロ</v>
          </cell>
          <cell r="AK489" t="str">
            <v>鬼怒川</v>
          </cell>
          <cell r="AL489" t="str">
            <v>板戸井取水施設</v>
          </cell>
          <cell r="AN489">
            <v>3</v>
          </cell>
          <cell r="AO489" t="str">
            <v>常総市，つくばみらい市，坂東市，境町，古河市</v>
          </cell>
          <cell r="AQ489" t="str">
            <v/>
          </cell>
          <cell r="AR489" t="str">
            <v>オキシディションディッチ法</v>
          </cell>
          <cell r="AS489" t="str">
            <v>0821101001</v>
          </cell>
          <cell r="AT489" t="str">
            <v/>
          </cell>
          <cell r="AU489" t="str">
            <v>10</v>
          </cell>
          <cell r="AV489" t="str">
            <v>10</v>
          </cell>
          <cell r="AW489">
            <v>0</v>
          </cell>
          <cell r="AX489">
            <v>0</v>
          </cell>
          <cell r="AY489">
            <v>0</v>
          </cell>
          <cell r="AZ489">
            <v>0</v>
          </cell>
          <cell r="BA489">
            <v>0</v>
          </cell>
          <cell r="BD489" t="str">
            <v/>
          </cell>
          <cell r="BE489">
            <v>1</v>
          </cell>
          <cell r="BG489" t="str">
            <v>1100</v>
          </cell>
        </row>
        <row r="490">
          <cell r="B490" t="str">
            <v>G082110106100200</v>
          </cell>
          <cell r="C490" t="str">
            <v>08.茨城県</v>
          </cell>
          <cell r="D490" t="str">
            <v>211</v>
          </cell>
          <cell r="E490" t="str">
            <v>常総市</v>
          </cell>
          <cell r="F490" t="str">
            <v>01</v>
          </cell>
          <cell r="G490" t="str">
            <v>公共 単独</v>
          </cell>
          <cell r="H490" t="str">
            <v>公共下水道</v>
          </cell>
          <cell r="I490" t="str">
            <v>単独</v>
          </cell>
          <cell r="J490" t="str">
            <v>002</v>
          </cell>
          <cell r="K490" t="str">
            <v>水海道浄化センター</v>
          </cell>
          <cell r="M490" t="str">
            <v>1</v>
          </cell>
          <cell r="N490" t="str">
            <v>1</v>
          </cell>
          <cell r="Q490">
            <v>37530</v>
          </cell>
          <cell r="R490" t="str">
            <v>平成</v>
          </cell>
          <cell r="S490">
            <v>14</v>
          </cell>
          <cell r="T490">
            <v>10</v>
          </cell>
          <cell r="AB490">
            <v>62700</v>
          </cell>
          <cell r="AC490" t="str">
            <v>鬼怒川</v>
          </cell>
          <cell r="AD490" t="str">
            <v>Ａ</v>
          </cell>
          <cell r="AE490" t="str">
            <v>ロ</v>
          </cell>
          <cell r="AK490" t="str">
            <v>鬼怒川</v>
          </cell>
          <cell r="AN490">
            <v>4.5</v>
          </cell>
          <cell r="AO490" t="str">
            <v>常総市，つくばみらい市，坂東市，境町，古河市</v>
          </cell>
          <cell r="AQ490" t="str">
            <v/>
          </cell>
          <cell r="AR490" t="str">
            <v>長時間エアレーション法</v>
          </cell>
          <cell r="AS490" t="str">
            <v>0821101002</v>
          </cell>
          <cell r="AT490" t="str">
            <v/>
          </cell>
          <cell r="AU490" t="str">
            <v>10</v>
          </cell>
          <cell r="AV490" t="str">
            <v>10</v>
          </cell>
          <cell r="AW490">
            <v>0</v>
          </cell>
          <cell r="AX490">
            <v>0</v>
          </cell>
          <cell r="AY490">
            <v>0</v>
          </cell>
          <cell r="AZ490">
            <v>0</v>
          </cell>
          <cell r="BA490">
            <v>0</v>
          </cell>
          <cell r="BD490" t="str">
            <v/>
          </cell>
          <cell r="BE490">
            <v>1</v>
          </cell>
          <cell r="BG490" t="str">
            <v>1100</v>
          </cell>
        </row>
        <row r="491">
          <cell r="B491" t="str">
            <v>G082110306100300</v>
          </cell>
          <cell r="C491" t="str">
            <v>08.茨城県</v>
          </cell>
          <cell r="D491" t="str">
            <v>211</v>
          </cell>
          <cell r="E491" t="str">
            <v>常総市</v>
          </cell>
          <cell r="F491" t="str">
            <v>03</v>
          </cell>
          <cell r="G491" t="str">
            <v>特定 単独</v>
          </cell>
          <cell r="H491" t="str">
            <v>特定公共下水道</v>
          </cell>
          <cell r="I491" t="str">
            <v>単独</v>
          </cell>
          <cell r="J491" t="str">
            <v>003</v>
          </cell>
          <cell r="K491" t="str">
            <v>大生郷終末処理場</v>
          </cell>
          <cell r="M491" t="str">
            <v>1</v>
          </cell>
          <cell r="N491" t="str">
            <v>1</v>
          </cell>
          <cell r="Q491">
            <v>29768</v>
          </cell>
          <cell r="R491" t="str">
            <v>昭和</v>
          </cell>
          <cell r="S491">
            <v>56</v>
          </cell>
          <cell r="T491">
            <v>7</v>
          </cell>
          <cell r="AB491">
            <v>11000</v>
          </cell>
          <cell r="AC491" t="str">
            <v>鬼怒川</v>
          </cell>
          <cell r="AD491" t="str">
            <v>Ａ</v>
          </cell>
          <cell r="AE491" t="str">
            <v>ロ</v>
          </cell>
          <cell r="AK491" t="str">
            <v>鬼怒川</v>
          </cell>
          <cell r="AL491" t="str">
            <v>板戸井取水施設</v>
          </cell>
          <cell r="AM491">
            <v>0</v>
          </cell>
          <cell r="AN491">
            <v>15.9</v>
          </cell>
          <cell r="AO491" t="str">
            <v>常総市，つくばみらい市，坂東市，境町，古河市</v>
          </cell>
          <cell r="AQ491" t="str">
            <v/>
          </cell>
          <cell r="AR491" t="str">
            <v>回転生物接触法</v>
          </cell>
          <cell r="AS491" t="str">
            <v>0821103003</v>
          </cell>
          <cell r="AT491" t="str">
            <v/>
          </cell>
          <cell r="AU491" t="str">
            <v>10</v>
          </cell>
          <cell r="AV491" t="str">
            <v>10</v>
          </cell>
          <cell r="AW491">
            <v>0</v>
          </cell>
          <cell r="AX491">
            <v>0</v>
          </cell>
          <cell r="AY491">
            <v>0</v>
          </cell>
          <cell r="AZ491">
            <v>0</v>
          </cell>
          <cell r="BA491">
            <v>0</v>
          </cell>
          <cell r="BD491" t="str">
            <v/>
          </cell>
          <cell r="BE491">
            <v>1</v>
          </cell>
          <cell r="BG491" t="str">
            <v>1100</v>
          </cell>
        </row>
        <row r="492">
          <cell r="B492" t="str">
            <v>G082120206100100</v>
          </cell>
          <cell r="C492" t="str">
            <v>08.茨城県</v>
          </cell>
          <cell r="D492" t="str">
            <v>212</v>
          </cell>
          <cell r="E492" t="str">
            <v>常陸太田市</v>
          </cell>
          <cell r="F492" t="str">
            <v>02</v>
          </cell>
          <cell r="G492" t="str">
            <v>特環 単独</v>
          </cell>
          <cell r="H492" t="str">
            <v>特定環境保全公共下水道</v>
          </cell>
          <cell r="I492" t="str">
            <v>単独</v>
          </cell>
          <cell r="J492" t="str">
            <v>001</v>
          </cell>
          <cell r="K492" t="str">
            <v>久米浄化センター</v>
          </cell>
          <cell r="M492" t="str">
            <v>1</v>
          </cell>
          <cell r="Q492">
            <v>39173</v>
          </cell>
          <cell r="R492" t="str">
            <v>平成</v>
          </cell>
          <cell r="S492">
            <v>19</v>
          </cell>
          <cell r="T492">
            <v>4</v>
          </cell>
          <cell r="AB492">
            <v>21700</v>
          </cell>
          <cell r="AC492" t="str">
            <v>山田川</v>
          </cell>
          <cell r="AD492" t="str">
            <v>Ａ</v>
          </cell>
          <cell r="AE492" t="str">
            <v>イ</v>
          </cell>
          <cell r="AF492">
            <v>15</v>
          </cell>
          <cell r="AI492" t="str">
            <v>農業用排水路</v>
          </cell>
          <cell r="AK492" t="str">
            <v>久慈川水系湯の沢川</v>
          </cell>
          <cell r="AL492" t="str">
            <v>落合取水場</v>
          </cell>
          <cell r="AN492">
            <v>12</v>
          </cell>
          <cell r="AO492" t="str">
            <v>常陸太田市，日立市</v>
          </cell>
          <cell r="AQ492" t="str">
            <v/>
          </cell>
          <cell r="AR492" t="str">
            <v>オキシディションディッチ法</v>
          </cell>
          <cell r="AS492" t="str">
            <v>0821202001</v>
          </cell>
          <cell r="AT492" t="str">
            <v/>
          </cell>
          <cell r="AU492" t="str">
            <v>00</v>
          </cell>
          <cell r="AV492" t="str">
            <v>00</v>
          </cell>
          <cell r="AW492">
            <v>0</v>
          </cell>
          <cell r="AX492">
            <v>0</v>
          </cell>
          <cell r="AY492">
            <v>0</v>
          </cell>
          <cell r="AZ492">
            <v>0</v>
          </cell>
          <cell r="BA492">
            <v>0</v>
          </cell>
          <cell r="BD492" t="str">
            <v/>
          </cell>
          <cell r="BE492">
            <v>1</v>
          </cell>
          <cell r="BG492" t="str">
            <v>1000</v>
          </cell>
        </row>
        <row r="493">
          <cell r="B493" t="str">
            <v>G082150106100100</v>
          </cell>
          <cell r="C493" t="str">
            <v>08.茨城県</v>
          </cell>
          <cell r="D493" t="str">
            <v>215</v>
          </cell>
          <cell r="E493" t="str">
            <v>北茨城市</v>
          </cell>
          <cell r="F493" t="str">
            <v>01</v>
          </cell>
          <cell r="G493" t="str">
            <v>公共 単独</v>
          </cell>
          <cell r="H493" t="str">
            <v>公共下水道</v>
          </cell>
          <cell r="I493" t="str">
            <v>単独</v>
          </cell>
          <cell r="J493" t="str">
            <v>001</v>
          </cell>
          <cell r="K493" t="str">
            <v>北茨城市浄化センター</v>
          </cell>
          <cell r="M493" t="str">
            <v>1</v>
          </cell>
          <cell r="N493" t="str">
            <v>1</v>
          </cell>
          <cell r="Q493">
            <v>38626</v>
          </cell>
          <cell r="R493" t="str">
            <v>平成</v>
          </cell>
          <cell r="S493">
            <v>17</v>
          </cell>
          <cell r="T493">
            <v>10</v>
          </cell>
          <cell r="AB493">
            <v>46342</v>
          </cell>
          <cell r="AC493" t="str">
            <v>常磐地先</v>
          </cell>
          <cell r="AD493" t="str">
            <v>Ｂ</v>
          </cell>
          <cell r="AE493" t="str">
            <v>イ</v>
          </cell>
          <cell r="AF493">
            <v>15</v>
          </cell>
          <cell r="AI493" t="str">
            <v>尻無川</v>
          </cell>
          <cell r="AQ493" t="str">
            <v/>
          </cell>
          <cell r="AR493" t="str">
            <v>標準活性汚泥法</v>
          </cell>
          <cell r="AS493" t="str">
            <v>0821501001</v>
          </cell>
          <cell r="AT493" t="str">
            <v/>
          </cell>
          <cell r="AU493" t="str">
            <v>10</v>
          </cell>
          <cell r="AV493" t="str">
            <v>10</v>
          </cell>
          <cell r="AW493">
            <v>0</v>
          </cell>
          <cell r="AX493">
            <v>0</v>
          </cell>
          <cell r="AY493">
            <v>0</v>
          </cell>
          <cell r="AZ493">
            <v>0</v>
          </cell>
          <cell r="BA493">
            <v>0</v>
          </cell>
          <cell r="BD493" t="str">
            <v/>
          </cell>
          <cell r="BE493">
            <v>1</v>
          </cell>
          <cell r="BG493" t="str">
            <v>1100</v>
          </cell>
        </row>
        <row r="494">
          <cell r="B494" t="str">
            <v>G082160106100100</v>
          </cell>
          <cell r="C494" t="str">
            <v>08.茨城県</v>
          </cell>
          <cell r="D494" t="str">
            <v>216</v>
          </cell>
          <cell r="E494" t="str">
            <v>笠間市</v>
          </cell>
          <cell r="F494" t="str">
            <v>01</v>
          </cell>
          <cell r="G494" t="str">
            <v>公共 単独</v>
          </cell>
          <cell r="H494" t="str">
            <v>公共下水道</v>
          </cell>
          <cell r="I494" t="str">
            <v>単独</v>
          </cell>
          <cell r="J494" t="str">
            <v>001</v>
          </cell>
          <cell r="K494" t="str">
            <v>浄化センターともべ</v>
          </cell>
          <cell r="M494" t="str">
            <v>1</v>
          </cell>
          <cell r="N494" t="str">
            <v>1</v>
          </cell>
          <cell r="Q494">
            <v>33664</v>
          </cell>
          <cell r="R494" t="str">
            <v>平成</v>
          </cell>
          <cell r="S494">
            <v>4</v>
          </cell>
          <cell r="T494">
            <v>3</v>
          </cell>
          <cell r="AB494">
            <v>63400</v>
          </cell>
          <cell r="AC494" t="str">
            <v>涸沼川</v>
          </cell>
          <cell r="AD494" t="str">
            <v>Ａ</v>
          </cell>
          <cell r="AE494" t="str">
            <v>ロ</v>
          </cell>
          <cell r="AF494">
            <v>8</v>
          </cell>
          <cell r="AK494" t="str">
            <v>涸沼川</v>
          </cell>
          <cell r="AL494" t="str">
            <v>涸沼川浄水場</v>
          </cell>
          <cell r="AM494">
            <v>4</v>
          </cell>
          <cell r="AO494" t="str">
            <v>笠間市　石岡市　小美玉市</v>
          </cell>
          <cell r="AQ494" t="str">
            <v/>
          </cell>
          <cell r="AR494" t="str">
            <v>オキシディションディッチ法</v>
          </cell>
          <cell r="AS494" t="str">
            <v>0821601001</v>
          </cell>
          <cell r="AT494" t="str">
            <v/>
          </cell>
          <cell r="AU494" t="str">
            <v>10</v>
          </cell>
          <cell r="AV494" t="str">
            <v>10</v>
          </cell>
          <cell r="AW494">
            <v>0</v>
          </cell>
          <cell r="AX494">
            <v>0</v>
          </cell>
          <cell r="AY494">
            <v>0</v>
          </cell>
          <cell r="AZ494">
            <v>0</v>
          </cell>
          <cell r="BA494">
            <v>0</v>
          </cell>
          <cell r="BD494" t="str">
            <v/>
          </cell>
          <cell r="BE494">
            <v>1</v>
          </cell>
          <cell r="BG494" t="str">
            <v>1100</v>
          </cell>
        </row>
        <row r="495">
          <cell r="B495" t="str">
            <v>G082160106100200</v>
          </cell>
          <cell r="C495" t="str">
            <v>08.茨城県</v>
          </cell>
          <cell r="D495" t="str">
            <v>216</v>
          </cell>
          <cell r="E495" t="str">
            <v>笠間市</v>
          </cell>
          <cell r="F495" t="str">
            <v>01</v>
          </cell>
          <cell r="G495" t="str">
            <v>公共 単独</v>
          </cell>
          <cell r="H495" t="str">
            <v>公共下水道</v>
          </cell>
          <cell r="I495" t="str">
            <v>単独</v>
          </cell>
          <cell r="J495" t="str">
            <v>002</v>
          </cell>
          <cell r="K495" t="str">
            <v>浄化センターいわま</v>
          </cell>
          <cell r="M495" t="str">
            <v>1</v>
          </cell>
          <cell r="N495" t="str">
            <v>1</v>
          </cell>
          <cell r="Q495">
            <v>37347</v>
          </cell>
          <cell r="R495" t="str">
            <v>平成</v>
          </cell>
          <cell r="S495">
            <v>14</v>
          </cell>
          <cell r="T495">
            <v>4</v>
          </cell>
          <cell r="AB495">
            <v>40900</v>
          </cell>
          <cell r="AC495" t="str">
            <v>涸沼川</v>
          </cell>
          <cell r="AD495" t="str">
            <v>Ａ</v>
          </cell>
          <cell r="AE495" t="str">
            <v>ロ</v>
          </cell>
          <cell r="AF495">
            <v>11</v>
          </cell>
          <cell r="AK495" t="str">
            <v>涸沼川</v>
          </cell>
          <cell r="AL495" t="str">
            <v>涸沼川浄水場</v>
          </cell>
          <cell r="AM495">
            <v>4.5999999999999996</v>
          </cell>
          <cell r="AO495" t="str">
            <v>笠間市　石岡市　小美玉市</v>
          </cell>
          <cell r="AQ495" t="str">
            <v/>
          </cell>
          <cell r="AR495" t="str">
            <v>オキシディションディッチ法</v>
          </cell>
          <cell r="AS495" t="str">
            <v>0821601002</v>
          </cell>
          <cell r="AT495" t="str">
            <v/>
          </cell>
          <cell r="AU495" t="str">
            <v>10</v>
          </cell>
          <cell r="AV495" t="str">
            <v>10</v>
          </cell>
          <cell r="AW495">
            <v>0</v>
          </cell>
          <cell r="AX495">
            <v>0</v>
          </cell>
          <cell r="AY495">
            <v>0</v>
          </cell>
          <cell r="AZ495">
            <v>0</v>
          </cell>
          <cell r="BA495">
            <v>0</v>
          </cell>
          <cell r="BD495" t="str">
            <v/>
          </cell>
          <cell r="BE495">
            <v>1</v>
          </cell>
          <cell r="BG495" t="str">
            <v>1100</v>
          </cell>
        </row>
        <row r="496">
          <cell r="B496" t="str">
            <v>G082210106100100</v>
          </cell>
          <cell r="C496" t="str">
            <v>08.茨城県</v>
          </cell>
          <cell r="D496" t="str">
            <v>221</v>
          </cell>
          <cell r="E496" t="str">
            <v>ひたちなか市</v>
          </cell>
          <cell r="F496" t="str">
            <v>01</v>
          </cell>
          <cell r="G496" t="str">
            <v>公共 単独</v>
          </cell>
          <cell r="H496" t="str">
            <v>公共下水道</v>
          </cell>
          <cell r="I496" t="str">
            <v>単独</v>
          </cell>
          <cell r="J496" t="str">
            <v>001</v>
          </cell>
          <cell r="K496" t="str">
            <v>ひたちなか市下水浄化センター</v>
          </cell>
          <cell r="M496" t="str">
            <v>1</v>
          </cell>
          <cell r="N496" t="str">
            <v>1</v>
          </cell>
          <cell r="Q496">
            <v>29342</v>
          </cell>
          <cell r="R496" t="str">
            <v>昭和</v>
          </cell>
          <cell r="S496">
            <v>55</v>
          </cell>
          <cell r="T496">
            <v>5</v>
          </cell>
          <cell r="AB496">
            <v>48661</v>
          </cell>
          <cell r="AC496" t="str">
            <v>那珂川（3）</v>
          </cell>
          <cell r="AD496" t="str">
            <v>Ａ</v>
          </cell>
          <cell r="AE496" t="str">
            <v>ロ</v>
          </cell>
          <cell r="AF496">
            <v>15</v>
          </cell>
          <cell r="AK496" t="str">
            <v>那珂川</v>
          </cell>
          <cell r="AL496" t="str">
            <v>千波土地改良区大杉山</v>
          </cell>
          <cell r="AM496">
            <v>2.4</v>
          </cell>
          <cell r="AO496" t="str">
            <v>大洗町</v>
          </cell>
          <cell r="AQ496" t="str">
            <v/>
          </cell>
          <cell r="AR496" t="str">
            <v>標準活性汚泥法</v>
          </cell>
          <cell r="AS496" t="str">
            <v>0822101001</v>
          </cell>
          <cell r="AT496" t="str">
            <v/>
          </cell>
          <cell r="AU496" t="str">
            <v>10</v>
          </cell>
          <cell r="AV496" t="str">
            <v>10</v>
          </cell>
          <cell r="AW496">
            <v>0</v>
          </cell>
          <cell r="AX496">
            <v>0</v>
          </cell>
          <cell r="AY496">
            <v>0</v>
          </cell>
          <cell r="AZ496">
            <v>0</v>
          </cell>
          <cell r="BA496">
            <v>0</v>
          </cell>
          <cell r="BD496" t="str">
            <v/>
          </cell>
          <cell r="BE496">
            <v>1</v>
          </cell>
          <cell r="BG496" t="str">
            <v>1100</v>
          </cell>
        </row>
        <row r="497">
          <cell r="B497" t="str">
            <v>G082220106100100</v>
          </cell>
          <cell r="C497" t="str">
            <v>08.茨城県</v>
          </cell>
          <cell r="D497" t="str">
            <v>222</v>
          </cell>
          <cell r="E497" t="str">
            <v>鹿嶋市</v>
          </cell>
          <cell r="F497" t="str">
            <v>01</v>
          </cell>
          <cell r="G497" t="str">
            <v>公共 単独</v>
          </cell>
          <cell r="H497" t="str">
            <v>公共下水道</v>
          </cell>
          <cell r="I497" t="str">
            <v>単独</v>
          </cell>
          <cell r="J497" t="str">
            <v>001</v>
          </cell>
          <cell r="K497" t="str">
            <v>鹿嶋市浄化センター</v>
          </cell>
          <cell r="M497" t="str">
            <v>1</v>
          </cell>
          <cell r="N497" t="str">
            <v>1</v>
          </cell>
          <cell r="Q497">
            <v>31321</v>
          </cell>
          <cell r="R497" t="str">
            <v>昭和</v>
          </cell>
          <cell r="S497">
            <v>60</v>
          </cell>
          <cell r="T497">
            <v>10</v>
          </cell>
          <cell r="AB497">
            <v>86400</v>
          </cell>
          <cell r="AC497" t="str">
            <v>鹿島灘海域</v>
          </cell>
          <cell r="AD497" t="str">
            <v>Ｂ</v>
          </cell>
          <cell r="AE497" t="str">
            <v>イ</v>
          </cell>
          <cell r="AF497">
            <v>10</v>
          </cell>
          <cell r="AI497" t="str">
            <v>鹿島灘海域</v>
          </cell>
          <cell r="AQ497" t="str">
            <v/>
          </cell>
          <cell r="AR497" t="str">
            <v>嫌気好気活性汚泥法</v>
          </cell>
          <cell r="AS497" t="str">
            <v>0822201001</v>
          </cell>
          <cell r="AT497" t="str">
            <v/>
          </cell>
          <cell r="AU497" t="str">
            <v>10</v>
          </cell>
          <cell r="AV497" t="str">
            <v>10</v>
          </cell>
          <cell r="AW497">
            <v>0</v>
          </cell>
          <cell r="AX497">
            <v>0</v>
          </cell>
          <cell r="AY497">
            <v>0</v>
          </cell>
          <cell r="AZ497">
            <v>0</v>
          </cell>
          <cell r="BA497">
            <v>0</v>
          </cell>
          <cell r="BD497" t="str">
            <v/>
          </cell>
          <cell r="BE497">
            <v>1</v>
          </cell>
          <cell r="BG497" t="str">
            <v>1100</v>
          </cell>
        </row>
        <row r="498">
          <cell r="B498" t="str">
            <v>G082240106100100</v>
          </cell>
          <cell r="C498" t="str">
            <v>08.茨城県</v>
          </cell>
          <cell r="D498" t="str">
            <v>224</v>
          </cell>
          <cell r="E498" t="str">
            <v>守谷市</v>
          </cell>
          <cell r="F498" t="str">
            <v>01</v>
          </cell>
          <cell r="G498" t="str">
            <v>公共 単独</v>
          </cell>
          <cell r="H498" t="str">
            <v>公共下水道</v>
          </cell>
          <cell r="I498" t="str">
            <v>単独</v>
          </cell>
          <cell r="J498" t="str">
            <v>001</v>
          </cell>
          <cell r="K498" t="str">
            <v>守谷浄化センター</v>
          </cell>
          <cell r="M498" t="str">
            <v>1</v>
          </cell>
          <cell r="N498" t="str">
            <v>1</v>
          </cell>
          <cell r="Q498">
            <v>29830</v>
          </cell>
          <cell r="R498" t="str">
            <v>昭和</v>
          </cell>
          <cell r="S498">
            <v>56</v>
          </cell>
          <cell r="T498">
            <v>9</v>
          </cell>
          <cell r="AB498">
            <v>95357</v>
          </cell>
          <cell r="AC498" t="str">
            <v>利根川</v>
          </cell>
          <cell r="AD498" t="str">
            <v>Ａ</v>
          </cell>
          <cell r="AE498" t="str">
            <v>イ</v>
          </cell>
          <cell r="AF498">
            <v>8</v>
          </cell>
          <cell r="AK498" t="str">
            <v>利根川</v>
          </cell>
          <cell r="AL498" t="str">
            <v>利根川浄水場</v>
          </cell>
          <cell r="AN498">
            <v>14</v>
          </cell>
          <cell r="AQ498" t="str">
            <v/>
          </cell>
          <cell r="AR498" t="str">
            <v>標準活性汚泥法</v>
          </cell>
          <cell r="AS498" t="str">
            <v>0822401001</v>
          </cell>
          <cell r="AT498" t="str">
            <v/>
          </cell>
          <cell r="AU498" t="str">
            <v>10</v>
          </cell>
          <cell r="AV498" t="str">
            <v>10</v>
          </cell>
          <cell r="AW498">
            <v>0</v>
          </cell>
          <cell r="AX498">
            <v>0</v>
          </cell>
          <cell r="AY498">
            <v>0</v>
          </cell>
          <cell r="AZ498">
            <v>0</v>
          </cell>
          <cell r="BA498">
            <v>0</v>
          </cell>
          <cell r="BD498" t="str">
            <v/>
          </cell>
          <cell r="BE498">
            <v>1</v>
          </cell>
          <cell r="BG498" t="str">
            <v>1100</v>
          </cell>
        </row>
        <row r="499">
          <cell r="B499" t="str">
            <v>G082270106100100</v>
          </cell>
          <cell r="C499" t="str">
            <v>08.茨城県</v>
          </cell>
          <cell r="D499" t="str">
            <v>227</v>
          </cell>
          <cell r="E499" t="str">
            <v>筑西市</v>
          </cell>
          <cell r="F499" t="str">
            <v>01</v>
          </cell>
          <cell r="G499" t="str">
            <v>公共 単独</v>
          </cell>
          <cell r="H499" t="str">
            <v>公共下水道</v>
          </cell>
          <cell r="I499" t="str">
            <v>単独</v>
          </cell>
          <cell r="J499" t="str">
            <v>001</v>
          </cell>
          <cell r="K499" t="str">
            <v>下館水処理センター</v>
          </cell>
          <cell r="M499" t="str">
            <v>1</v>
          </cell>
          <cell r="N499" t="str">
            <v>1</v>
          </cell>
          <cell r="O499" t="str">
            <v>1</v>
          </cell>
          <cell r="Q499">
            <v>29465</v>
          </cell>
          <cell r="R499" t="str">
            <v>昭和</v>
          </cell>
          <cell r="S499">
            <v>55</v>
          </cell>
          <cell r="T499">
            <v>9</v>
          </cell>
          <cell r="U499" t="str">
            <v>名称変更</v>
          </cell>
          <cell r="V499">
            <v>38443</v>
          </cell>
          <cell r="W499" t="str">
            <v>平成</v>
          </cell>
          <cell r="X499">
            <v>17</v>
          </cell>
          <cell r="Y499">
            <v>4</v>
          </cell>
          <cell r="Z499" t="str">
            <v>下館市水処理センター</v>
          </cell>
          <cell r="AB499">
            <v>47459</v>
          </cell>
          <cell r="AC499" t="str">
            <v>小貝川</v>
          </cell>
          <cell r="AD499" t="str">
            <v>Ａ</v>
          </cell>
          <cell r="AE499" t="str">
            <v>ハ</v>
          </cell>
          <cell r="AF499">
            <v>10</v>
          </cell>
          <cell r="AK499" t="str">
            <v>小貝川</v>
          </cell>
          <cell r="AQ499" t="str">
            <v/>
          </cell>
          <cell r="AR499" t="str">
            <v>標準活性汚泥法</v>
          </cell>
          <cell r="AS499" t="str">
            <v>0822701001</v>
          </cell>
          <cell r="AT499" t="str">
            <v/>
          </cell>
          <cell r="AU499" t="str">
            <v>11</v>
          </cell>
          <cell r="AV499" t="str">
            <v>11</v>
          </cell>
          <cell r="AW499">
            <v>0</v>
          </cell>
          <cell r="AX499">
            <v>0</v>
          </cell>
          <cell r="AY499">
            <v>0</v>
          </cell>
          <cell r="AZ499">
            <v>0</v>
          </cell>
          <cell r="BA499">
            <v>0</v>
          </cell>
          <cell r="BD499" t="str">
            <v/>
          </cell>
          <cell r="BE499">
            <v>1</v>
          </cell>
          <cell r="BG499" t="str">
            <v>1110</v>
          </cell>
        </row>
        <row r="500">
          <cell r="B500" t="str">
            <v>G082270106100200</v>
          </cell>
          <cell r="C500" t="str">
            <v>08.茨城県</v>
          </cell>
          <cell r="D500" t="str">
            <v>227</v>
          </cell>
          <cell r="E500" t="str">
            <v>筑西市</v>
          </cell>
          <cell r="F500" t="str">
            <v>01</v>
          </cell>
          <cell r="G500" t="str">
            <v>公共 単独</v>
          </cell>
          <cell r="H500" t="str">
            <v>公共下水道</v>
          </cell>
          <cell r="I500" t="str">
            <v>単独</v>
          </cell>
          <cell r="J500" t="str">
            <v>002</v>
          </cell>
          <cell r="K500" t="str">
            <v>川島水処理センター</v>
          </cell>
          <cell r="M500" t="str">
            <v>1</v>
          </cell>
          <cell r="N500" t="str">
            <v>1</v>
          </cell>
          <cell r="Q500">
            <v>35156</v>
          </cell>
          <cell r="R500" t="str">
            <v>平成</v>
          </cell>
          <cell r="S500">
            <v>8</v>
          </cell>
          <cell r="T500">
            <v>4</v>
          </cell>
          <cell r="AB500">
            <v>3260</v>
          </cell>
          <cell r="AC500" t="str">
            <v>鬼怒川</v>
          </cell>
          <cell r="AD500" t="str">
            <v>Ａ</v>
          </cell>
          <cell r="AE500" t="str">
            <v>イ</v>
          </cell>
          <cell r="AF500">
            <v>10</v>
          </cell>
          <cell r="AK500" t="str">
            <v>鬼怒川</v>
          </cell>
          <cell r="AQ500" t="str">
            <v/>
          </cell>
          <cell r="AR500" t="str">
            <v>回分式活性汚泥法</v>
          </cell>
          <cell r="AS500" t="str">
            <v>0822701002</v>
          </cell>
          <cell r="AT500" t="str">
            <v/>
          </cell>
          <cell r="AU500" t="str">
            <v>10</v>
          </cell>
          <cell r="AV500" t="str">
            <v>10</v>
          </cell>
          <cell r="AW500">
            <v>0</v>
          </cell>
          <cell r="AX500">
            <v>0</v>
          </cell>
          <cell r="AY500">
            <v>0</v>
          </cell>
          <cell r="AZ500">
            <v>0</v>
          </cell>
          <cell r="BA500">
            <v>0</v>
          </cell>
          <cell r="BD500" t="str">
            <v/>
          </cell>
          <cell r="BE500">
            <v>1</v>
          </cell>
          <cell r="BG500" t="str">
            <v>1100</v>
          </cell>
        </row>
        <row r="501">
          <cell r="B501" t="str">
            <v>G082280106100100</v>
          </cell>
          <cell r="C501" t="str">
            <v>08.茨城県</v>
          </cell>
          <cell r="D501" t="str">
            <v>228</v>
          </cell>
          <cell r="E501" t="str">
            <v>坂東市</v>
          </cell>
          <cell r="F501" t="str">
            <v>01</v>
          </cell>
          <cell r="G501" t="str">
            <v>公共 単独</v>
          </cell>
          <cell r="H501" t="str">
            <v>公共下水道</v>
          </cell>
          <cell r="I501" t="str">
            <v>単独</v>
          </cell>
          <cell r="J501" t="str">
            <v>001</v>
          </cell>
          <cell r="K501" t="str">
            <v>岩井浄化センター</v>
          </cell>
          <cell r="M501" t="str">
            <v>1</v>
          </cell>
          <cell r="N501" t="str">
            <v>1</v>
          </cell>
          <cell r="P501" t="str">
            <v>1</v>
          </cell>
          <cell r="Q501">
            <v>34029</v>
          </cell>
          <cell r="R501" t="str">
            <v>平成</v>
          </cell>
          <cell r="S501">
            <v>5</v>
          </cell>
          <cell r="T501">
            <v>3</v>
          </cell>
          <cell r="AB501">
            <v>58000</v>
          </cell>
          <cell r="AC501" t="str">
            <v>利根川下流</v>
          </cell>
          <cell r="AD501" t="str">
            <v>Ａ</v>
          </cell>
          <cell r="AE501" t="str">
            <v>イ</v>
          </cell>
          <cell r="AF501">
            <v>10</v>
          </cell>
          <cell r="AK501" t="str">
            <v>利根川</v>
          </cell>
          <cell r="AL501" t="str">
            <v>小山取水口</v>
          </cell>
          <cell r="AM501">
            <v>0.5</v>
          </cell>
          <cell r="AN501">
            <v>10</v>
          </cell>
          <cell r="AO501" t="str">
            <v>常総市</v>
          </cell>
          <cell r="AQ501" t="str">
            <v/>
          </cell>
          <cell r="AR501" t="str">
            <v>標準活性汚泥法</v>
          </cell>
          <cell r="AS501" t="str">
            <v>0822801001</v>
          </cell>
          <cell r="AT501" t="str">
            <v/>
          </cell>
          <cell r="AU501" t="str">
            <v>10</v>
          </cell>
          <cell r="AV501" t="str">
            <v>10</v>
          </cell>
          <cell r="AW501">
            <v>1</v>
          </cell>
          <cell r="AX501">
            <v>0</v>
          </cell>
          <cell r="AY501">
            <v>0</v>
          </cell>
          <cell r="AZ501">
            <v>0</v>
          </cell>
          <cell r="BA501">
            <v>0</v>
          </cell>
          <cell r="BD501" t="str">
            <v/>
          </cell>
          <cell r="BE501">
            <v>1</v>
          </cell>
          <cell r="BG501" t="str">
            <v>1101</v>
          </cell>
        </row>
        <row r="502">
          <cell r="B502" t="str">
            <v>G082290106100100</v>
          </cell>
          <cell r="C502" t="str">
            <v>08.茨城県</v>
          </cell>
          <cell r="D502" t="str">
            <v>229</v>
          </cell>
          <cell r="E502" t="str">
            <v>稲敷市</v>
          </cell>
          <cell r="F502" t="str">
            <v>01</v>
          </cell>
          <cell r="G502" t="str">
            <v>公共 単独</v>
          </cell>
          <cell r="H502" t="str">
            <v>公共下水道</v>
          </cell>
          <cell r="I502" t="str">
            <v>単独</v>
          </cell>
          <cell r="J502" t="str">
            <v>001</v>
          </cell>
          <cell r="K502" t="str">
            <v>江戸崎終末処理場</v>
          </cell>
          <cell r="M502" t="str">
            <v>1</v>
          </cell>
          <cell r="N502" t="str">
            <v>1</v>
          </cell>
          <cell r="Q502">
            <v>39264</v>
          </cell>
          <cell r="R502" t="str">
            <v>平成</v>
          </cell>
          <cell r="S502">
            <v>19</v>
          </cell>
          <cell r="T502">
            <v>7</v>
          </cell>
          <cell r="AB502">
            <v>42000</v>
          </cell>
          <cell r="AC502" t="str">
            <v>小野川</v>
          </cell>
          <cell r="AD502" t="str">
            <v>Ａ</v>
          </cell>
          <cell r="AE502" t="str">
            <v>ロ</v>
          </cell>
          <cell r="AI502" t="str">
            <v>荒沼中央排水路</v>
          </cell>
          <cell r="AL502" t="str">
            <v>茨城県企業局木原取水ポンプ場</v>
          </cell>
          <cell r="AN502">
            <v>8.5</v>
          </cell>
          <cell r="AO502" t="str">
            <v>茨城県企業局</v>
          </cell>
          <cell r="AQ502" t="str">
            <v/>
          </cell>
          <cell r="AR502" t="str">
            <v>高度処理オキシディションディッチ法</v>
          </cell>
          <cell r="AS502" t="str">
            <v>0822901001</v>
          </cell>
          <cell r="AT502" t="str">
            <v/>
          </cell>
          <cell r="AU502" t="str">
            <v>10</v>
          </cell>
          <cell r="AV502" t="str">
            <v>10</v>
          </cell>
          <cell r="AW502">
            <v>0</v>
          </cell>
          <cell r="AX502">
            <v>0</v>
          </cell>
          <cell r="AY502">
            <v>0</v>
          </cell>
          <cell r="AZ502">
            <v>0</v>
          </cell>
          <cell r="BA502">
            <v>0</v>
          </cell>
          <cell r="BD502" t="str">
            <v/>
          </cell>
          <cell r="BE502">
            <v>1</v>
          </cell>
          <cell r="BG502" t="str">
            <v>1100</v>
          </cell>
        </row>
        <row r="503">
          <cell r="B503" t="str">
            <v>G082290206100200</v>
          </cell>
          <cell r="C503" t="str">
            <v>08.茨城県</v>
          </cell>
          <cell r="D503" t="str">
            <v>229</v>
          </cell>
          <cell r="E503" t="str">
            <v>稲敷市</v>
          </cell>
          <cell r="F503" t="str">
            <v>02</v>
          </cell>
          <cell r="G503" t="str">
            <v>特環 単独</v>
          </cell>
          <cell r="H503" t="str">
            <v>特定環境保全公共下水道</v>
          </cell>
          <cell r="I503" t="str">
            <v>単独</v>
          </cell>
          <cell r="J503" t="str">
            <v>002</v>
          </cell>
          <cell r="K503" t="str">
            <v>あずま浄化センター</v>
          </cell>
          <cell r="M503" t="str">
            <v>1</v>
          </cell>
          <cell r="N503" t="str">
            <v>1</v>
          </cell>
          <cell r="Q503">
            <v>37012</v>
          </cell>
          <cell r="R503" t="str">
            <v>平成</v>
          </cell>
          <cell r="S503">
            <v>13</v>
          </cell>
          <cell r="T503">
            <v>5</v>
          </cell>
          <cell r="AB503">
            <v>26600</v>
          </cell>
          <cell r="AC503" t="str">
            <v>霞ヶ浦</v>
          </cell>
          <cell r="AD503" t="str">
            <v>Ａ</v>
          </cell>
          <cell r="AE503" t="str">
            <v>ハ</v>
          </cell>
          <cell r="AI503" t="str">
            <v>伊崎幹線排水路（霞ヶ浦）</v>
          </cell>
          <cell r="AL503" t="str">
            <v>茨城県企業局木原取水ポンプ場</v>
          </cell>
          <cell r="AN503">
            <v>23.2</v>
          </cell>
          <cell r="AO503" t="str">
            <v>茨城県企業局</v>
          </cell>
          <cell r="AQ503" t="str">
            <v/>
          </cell>
          <cell r="AR503" t="str">
            <v>高度処理オキシディションディッチ法</v>
          </cell>
          <cell r="AS503" t="str">
            <v>0822902002</v>
          </cell>
          <cell r="AT503" t="str">
            <v/>
          </cell>
          <cell r="AU503" t="str">
            <v>10</v>
          </cell>
          <cell r="AV503" t="str">
            <v>10</v>
          </cell>
          <cell r="AW503">
            <v>0</v>
          </cell>
          <cell r="AX503">
            <v>0</v>
          </cell>
          <cell r="AY503">
            <v>0</v>
          </cell>
          <cell r="AZ503">
            <v>0</v>
          </cell>
          <cell r="BA503">
            <v>0</v>
          </cell>
          <cell r="BD503" t="str">
            <v/>
          </cell>
          <cell r="BE503">
            <v>1</v>
          </cell>
          <cell r="BG503" t="str">
            <v>1100</v>
          </cell>
        </row>
        <row r="504">
          <cell r="B504" t="str">
            <v>G082290206100300</v>
          </cell>
          <cell r="C504" t="str">
            <v>08.茨城県</v>
          </cell>
          <cell r="D504" t="str">
            <v>229</v>
          </cell>
          <cell r="E504" t="str">
            <v>稲敷市</v>
          </cell>
          <cell r="F504" t="str">
            <v>02</v>
          </cell>
          <cell r="G504" t="str">
            <v>特環 単独</v>
          </cell>
          <cell r="H504" t="str">
            <v>特定環境保全公共下水道</v>
          </cell>
          <cell r="I504" t="str">
            <v>単独</v>
          </cell>
          <cell r="J504" t="str">
            <v>003</v>
          </cell>
          <cell r="K504" t="str">
            <v>古渡西部浄化センター</v>
          </cell>
          <cell r="M504" t="str">
            <v>1</v>
          </cell>
          <cell r="N504" t="str">
            <v>1</v>
          </cell>
          <cell r="Q504">
            <v>37438</v>
          </cell>
          <cell r="R504" t="str">
            <v>平成</v>
          </cell>
          <cell r="S504">
            <v>14</v>
          </cell>
          <cell r="T504">
            <v>7</v>
          </cell>
          <cell r="AB504">
            <v>8083</v>
          </cell>
          <cell r="AC504" t="str">
            <v>霞ヶ浦</v>
          </cell>
          <cell r="AD504" t="str">
            <v>Ａ</v>
          </cell>
          <cell r="AE504" t="str">
            <v>ハ</v>
          </cell>
          <cell r="AI504" t="str">
            <v>霞ヶ浦</v>
          </cell>
          <cell r="AL504" t="str">
            <v>茨城県企業局木原取水ポンプ場</v>
          </cell>
          <cell r="AN504">
            <v>14.3</v>
          </cell>
          <cell r="AO504" t="str">
            <v>茨城県企業局</v>
          </cell>
          <cell r="AQ504" t="str">
            <v/>
          </cell>
          <cell r="AR504" t="str">
            <v>高度処理オキシディションディッチ法</v>
          </cell>
          <cell r="AS504" t="str">
            <v>0822902003</v>
          </cell>
          <cell r="AT504" t="str">
            <v/>
          </cell>
          <cell r="AU504" t="str">
            <v>10</v>
          </cell>
          <cell r="AV504" t="str">
            <v>10</v>
          </cell>
          <cell r="AW504">
            <v>0</v>
          </cell>
          <cell r="AX504">
            <v>0</v>
          </cell>
          <cell r="AY504">
            <v>0</v>
          </cell>
          <cell r="AZ504">
            <v>0</v>
          </cell>
          <cell r="BA504">
            <v>0</v>
          </cell>
          <cell r="BD504" t="str">
            <v/>
          </cell>
          <cell r="BE504">
            <v>1</v>
          </cell>
          <cell r="BG504" t="str">
            <v>1100</v>
          </cell>
        </row>
        <row r="505">
          <cell r="B505" t="str">
            <v>G082300206100100</v>
          </cell>
          <cell r="C505" t="str">
            <v>08.茨城県</v>
          </cell>
          <cell r="D505" t="str">
            <v>230</v>
          </cell>
          <cell r="E505" t="str">
            <v>かすみがうら市</v>
          </cell>
          <cell r="F505" t="str">
            <v>02</v>
          </cell>
          <cell r="G505" t="str">
            <v>特環 単独</v>
          </cell>
          <cell r="H505" t="str">
            <v>特定環境保全公共下水道</v>
          </cell>
          <cell r="I505" t="str">
            <v>単独</v>
          </cell>
          <cell r="J505" t="str">
            <v>001</v>
          </cell>
          <cell r="K505" t="str">
            <v>田伏浄化センター</v>
          </cell>
          <cell r="M505" t="str">
            <v>1</v>
          </cell>
          <cell r="N505" t="str">
            <v>1</v>
          </cell>
          <cell r="Q505">
            <v>32599</v>
          </cell>
          <cell r="R505" t="str">
            <v>平成</v>
          </cell>
          <cell r="S505">
            <v>1</v>
          </cell>
          <cell r="T505">
            <v>4</v>
          </cell>
          <cell r="AB505">
            <v>7659</v>
          </cell>
          <cell r="AC505" t="str">
            <v>霞ヶ浦</v>
          </cell>
          <cell r="AD505" t="str">
            <v>Ａ</v>
          </cell>
          <cell r="AE505" t="str">
            <v>ハ</v>
          </cell>
          <cell r="AF505">
            <v>10</v>
          </cell>
          <cell r="AG505">
            <v>15</v>
          </cell>
          <cell r="AH505">
            <v>1</v>
          </cell>
          <cell r="AI505" t="str">
            <v>沖ノ内高位部排水</v>
          </cell>
          <cell r="AL505" t="str">
            <v>水資源開発公団</v>
          </cell>
          <cell r="AN505">
            <v>6.5</v>
          </cell>
          <cell r="AQ505" t="str">
            <v/>
          </cell>
          <cell r="AR505" t="str">
            <v>高度処理オキシディションディッチ法</v>
          </cell>
          <cell r="AS505" t="str">
            <v>0823002001</v>
          </cell>
          <cell r="AT505" t="str">
            <v/>
          </cell>
          <cell r="AU505" t="str">
            <v>10</v>
          </cell>
          <cell r="AV505" t="str">
            <v>10</v>
          </cell>
          <cell r="AW505">
            <v>0</v>
          </cell>
          <cell r="AX505">
            <v>0</v>
          </cell>
          <cell r="AY505">
            <v>0</v>
          </cell>
          <cell r="AZ505">
            <v>0</v>
          </cell>
          <cell r="BA505">
            <v>0</v>
          </cell>
          <cell r="BD505" t="str">
            <v/>
          </cell>
          <cell r="BE505">
            <v>1</v>
          </cell>
          <cell r="BG505" t="str">
            <v>1100</v>
          </cell>
        </row>
        <row r="506">
          <cell r="B506" t="str">
            <v>G082330206100100</v>
          </cell>
          <cell r="C506" t="str">
            <v>08.茨城県</v>
          </cell>
          <cell r="D506" t="str">
            <v>233</v>
          </cell>
          <cell r="E506" t="str">
            <v>行方市</v>
          </cell>
          <cell r="F506" t="str">
            <v>02</v>
          </cell>
          <cell r="G506" t="str">
            <v>特環 単独</v>
          </cell>
          <cell r="H506" t="str">
            <v>特定環境保全公共下水道</v>
          </cell>
          <cell r="I506" t="str">
            <v>単独</v>
          </cell>
          <cell r="J506" t="str">
            <v>001</v>
          </cell>
          <cell r="K506" t="str">
            <v>玉造浄化センター</v>
          </cell>
          <cell r="M506" t="str">
            <v>1</v>
          </cell>
          <cell r="N506" t="str">
            <v>1</v>
          </cell>
          <cell r="Q506">
            <v>36069</v>
          </cell>
          <cell r="R506" t="str">
            <v>平成</v>
          </cell>
          <cell r="S506">
            <v>10</v>
          </cell>
          <cell r="T506">
            <v>10</v>
          </cell>
          <cell r="AB506">
            <v>20891</v>
          </cell>
          <cell r="AC506" t="str">
            <v>霞ヶ浦</v>
          </cell>
          <cell r="AD506" t="str">
            <v>Ａ</v>
          </cell>
          <cell r="AE506" t="str">
            <v>ハ</v>
          </cell>
          <cell r="AF506">
            <v>10</v>
          </cell>
          <cell r="AG506">
            <v>20</v>
          </cell>
          <cell r="AH506">
            <v>1</v>
          </cell>
          <cell r="AI506" t="str">
            <v>農業用排水路から霞ヶ浦</v>
          </cell>
          <cell r="AL506" t="str">
            <v>県南水道事務所阿見浄水場</v>
          </cell>
          <cell r="AN506">
            <v>16</v>
          </cell>
          <cell r="AO506" t="str">
            <v>土浦市その他</v>
          </cell>
          <cell r="AQ506" t="str">
            <v/>
          </cell>
          <cell r="AR506" t="str">
            <v>回分式活性汚泥法</v>
          </cell>
          <cell r="AS506" t="str">
            <v>0823302001</v>
          </cell>
          <cell r="AT506" t="str">
            <v/>
          </cell>
          <cell r="AU506" t="str">
            <v>10</v>
          </cell>
          <cell r="AV506" t="str">
            <v>10</v>
          </cell>
          <cell r="AW506">
            <v>0</v>
          </cell>
          <cell r="AX506">
            <v>0</v>
          </cell>
          <cell r="AY506">
            <v>0</v>
          </cell>
          <cell r="AZ506">
            <v>0</v>
          </cell>
          <cell r="BA506">
            <v>0</v>
          </cell>
          <cell r="BD506" t="str">
            <v/>
          </cell>
          <cell r="BE506">
            <v>1</v>
          </cell>
          <cell r="BG506" t="str">
            <v>1100</v>
          </cell>
        </row>
        <row r="507">
          <cell r="B507" t="str">
            <v>G082350106100100</v>
          </cell>
          <cell r="C507" t="str">
            <v>08.茨城県</v>
          </cell>
          <cell r="D507" t="str">
            <v>235</v>
          </cell>
          <cell r="E507" t="str">
            <v>つくばみらい市</v>
          </cell>
          <cell r="F507" t="str">
            <v>01</v>
          </cell>
          <cell r="G507" t="str">
            <v>公共 単独</v>
          </cell>
          <cell r="H507" t="str">
            <v>公共下水道</v>
          </cell>
          <cell r="I507" t="str">
            <v>単独</v>
          </cell>
          <cell r="J507" t="str">
            <v>001</v>
          </cell>
          <cell r="K507" t="str">
            <v>小絹水処理センター</v>
          </cell>
          <cell r="M507" t="str">
            <v>1</v>
          </cell>
          <cell r="N507" t="str">
            <v>1</v>
          </cell>
          <cell r="Q507">
            <v>32599</v>
          </cell>
          <cell r="R507" t="str">
            <v>平成</v>
          </cell>
          <cell r="S507">
            <v>1</v>
          </cell>
          <cell r="T507">
            <v>4</v>
          </cell>
          <cell r="AB507">
            <v>45400</v>
          </cell>
          <cell r="AC507" t="str">
            <v>鬼怒川</v>
          </cell>
          <cell r="AD507" t="str">
            <v>Ａ</v>
          </cell>
          <cell r="AE507" t="str">
            <v>ロ</v>
          </cell>
          <cell r="AF507">
            <v>15</v>
          </cell>
          <cell r="AK507" t="str">
            <v>鬼怒川</v>
          </cell>
          <cell r="AL507" t="str">
            <v>板戸井取水所</v>
          </cell>
          <cell r="AN507">
            <v>2</v>
          </cell>
          <cell r="AO507" t="str">
            <v>坂東市・古河市・堺町</v>
          </cell>
          <cell r="AQ507" t="str">
            <v/>
          </cell>
          <cell r="AR507" t="str">
            <v>標準活性汚泥法</v>
          </cell>
          <cell r="AS507" t="str">
            <v>0823501001</v>
          </cell>
          <cell r="AT507" t="str">
            <v/>
          </cell>
          <cell r="AU507" t="str">
            <v>10</v>
          </cell>
          <cell r="AV507" t="str">
            <v>10</v>
          </cell>
          <cell r="AW507">
            <v>0</v>
          </cell>
          <cell r="AX507">
            <v>0</v>
          </cell>
          <cell r="AY507">
            <v>0</v>
          </cell>
          <cell r="AZ507">
            <v>0</v>
          </cell>
          <cell r="BA507">
            <v>0</v>
          </cell>
          <cell r="BD507" t="str">
            <v/>
          </cell>
          <cell r="BE507">
            <v>1</v>
          </cell>
          <cell r="BG507" t="str">
            <v>1100</v>
          </cell>
        </row>
        <row r="508">
          <cell r="B508" t="str">
            <v>G083020106100100</v>
          </cell>
          <cell r="C508" t="str">
            <v>08.茨城県</v>
          </cell>
          <cell r="D508" t="str">
            <v>302</v>
          </cell>
          <cell r="E508" t="str">
            <v>茨城町</v>
          </cell>
          <cell r="F508" t="str">
            <v>01</v>
          </cell>
          <cell r="G508" t="str">
            <v>公共 単独</v>
          </cell>
          <cell r="H508" t="str">
            <v>公共下水道</v>
          </cell>
          <cell r="I508" t="str">
            <v>単独</v>
          </cell>
          <cell r="J508" t="str">
            <v>001</v>
          </cell>
          <cell r="K508" t="str">
            <v>茨城町浄化センター</v>
          </cell>
          <cell r="M508" t="str">
            <v>1</v>
          </cell>
          <cell r="N508" t="str">
            <v>1</v>
          </cell>
          <cell r="Q508">
            <v>38078</v>
          </cell>
          <cell r="R508" t="str">
            <v>平成</v>
          </cell>
          <cell r="S508">
            <v>16</v>
          </cell>
          <cell r="T508">
            <v>4</v>
          </cell>
          <cell r="AB508">
            <v>50100</v>
          </cell>
          <cell r="AC508" t="str">
            <v>涸沼川水域</v>
          </cell>
          <cell r="AD508" t="str">
            <v>Ａ</v>
          </cell>
          <cell r="AE508" t="str">
            <v>ロ</v>
          </cell>
          <cell r="AF508">
            <v>10</v>
          </cell>
          <cell r="AK508" t="str">
            <v>涸沼川</v>
          </cell>
          <cell r="AQ508" t="str">
            <v/>
          </cell>
          <cell r="AR508" t="str">
            <v>標準活性汚泥法</v>
          </cell>
          <cell r="AS508" t="str">
            <v>0830201001</v>
          </cell>
          <cell r="AT508" t="str">
            <v/>
          </cell>
          <cell r="AU508" t="str">
            <v>10</v>
          </cell>
          <cell r="AV508" t="str">
            <v>10</v>
          </cell>
          <cell r="AW508">
            <v>0</v>
          </cell>
          <cell r="AX508">
            <v>0</v>
          </cell>
          <cell r="AY508">
            <v>0</v>
          </cell>
          <cell r="AZ508">
            <v>0</v>
          </cell>
          <cell r="BA508">
            <v>0</v>
          </cell>
          <cell r="BD508" t="str">
            <v/>
          </cell>
          <cell r="BE508">
            <v>1</v>
          </cell>
          <cell r="BG508" t="str">
            <v>1100</v>
          </cell>
        </row>
        <row r="509">
          <cell r="B509" t="str">
            <v>G083100206100100</v>
          </cell>
          <cell r="C509" t="str">
            <v>08.茨城県</v>
          </cell>
          <cell r="D509" t="str">
            <v>310</v>
          </cell>
          <cell r="E509" t="str">
            <v>城里町</v>
          </cell>
          <cell r="F509" t="str">
            <v>02</v>
          </cell>
          <cell r="G509" t="str">
            <v>特環 単独</v>
          </cell>
          <cell r="H509" t="str">
            <v>特定環境保全公共下水道</v>
          </cell>
          <cell r="I509" t="str">
            <v>単独</v>
          </cell>
          <cell r="J509" t="str">
            <v>001</v>
          </cell>
          <cell r="K509" t="str">
            <v>かつら水処理センター</v>
          </cell>
          <cell r="M509" t="str">
            <v>1</v>
          </cell>
          <cell r="N509" t="str">
            <v>1</v>
          </cell>
          <cell r="Q509">
            <v>35886</v>
          </cell>
          <cell r="R509" t="str">
            <v>平成</v>
          </cell>
          <cell r="S509">
            <v>10</v>
          </cell>
          <cell r="T509">
            <v>4</v>
          </cell>
          <cell r="AB509">
            <v>14131</v>
          </cell>
          <cell r="AC509" t="str">
            <v>那珂川</v>
          </cell>
          <cell r="AD509" t="str">
            <v>Ａ</v>
          </cell>
          <cell r="AE509" t="str">
            <v>イ</v>
          </cell>
          <cell r="AF509">
            <v>15</v>
          </cell>
          <cell r="AI509" t="str">
            <v>桂川</v>
          </cell>
          <cell r="AK509" t="str">
            <v>那珂川</v>
          </cell>
          <cell r="AL509" t="str">
            <v>松山下</v>
          </cell>
          <cell r="AN509">
            <v>7.2</v>
          </cell>
          <cell r="AO509" t="str">
            <v>城里町</v>
          </cell>
          <cell r="AQ509" t="str">
            <v/>
          </cell>
          <cell r="AR509" t="str">
            <v>土壌被覆型礫間接触法</v>
          </cell>
          <cell r="AS509" t="str">
            <v>0831002001</v>
          </cell>
          <cell r="AT509" t="str">
            <v/>
          </cell>
          <cell r="AU509" t="str">
            <v>10</v>
          </cell>
          <cell r="AV509" t="str">
            <v>10</v>
          </cell>
          <cell r="AW509">
            <v>0</v>
          </cell>
          <cell r="AX509">
            <v>0</v>
          </cell>
          <cell r="AY509">
            <v>0</v>
          </cell>
          <cell r="AZ509">
            <v>0</v>
          </cell>
          <cell r="BA509">
            <v>0</v>
          </cell>
          <cell r="BD509" t="str">
            <v/>
          </cell>
          <cell r="BE509">
            <v>1</v>
          </cell>
          <cell r="BG509" t="str">
            <v>1100</v>
          </cell>
        </row>
        <row r="510">
          <cell r="B510" t="str">
            <v>G084420106100100</v>
          </cell>
          <cell r="C510" t="str">
            <v>08.茨城県</v>
          </cell>
          <cell r="D510" t="str">
            <v>442</v>
          </cell>
          <cell r="E510" t="str">
            <v>美浦村</v>
          </cell>
          <cell r="F510" t="str">
            <v>01</v>
          </cell>
          <cell r="G510" t="str">
            <v>公共 単独</v>
          </cell>
          <cell r="H510" t="str">
            <v>公共下水道</v>
          </cell>
          <cell r="I510" t="str">
            <v>単独</v>
          </cell>
          <cell r="J510" t="str">
            <v>001</v>
          </cell>
          <cell r="K510" t="str">
            <v>美浦水処理センター</v>
          </cell>
          <cell r="M510" t="str">
            <v>1</v>
          </cell>
          <cell r="N510" t="str">
            <v>1</v>
          </cell>
          <cell r="P510" t="str">
            <v>1</v>
          </cell>
          <cell r="Q510">
            <v>38687</v>
          </cell>
          <cell r="R510" t="str">
            <v>平成</v>
          </cell>
          <cell r="S510">
            <v>17</v>
          </cell>
          <cell r="T510">
            <v>12</v>
          </cell>
          <cell r="AB510">
            <v>35200</v>
          </cell>
          <cell r="AC510" t="str">
            <v>霞ヶ浦（西浦）湖心</v>
          </cell>
          <cell r="AD510" t="str">
            <v>Ａ-Ⅲ</v>
          </cell>
          <cell r="AE510" t="str">
            <v>ハ</v>
          </cell>
          <cell r="AF510">
            <v>10</v>
          </cell>
          <cell r="AG510">
            <v>15</v>
          </cell>
          <cell r="AH510">
            <v>1</v>
          </cell>
          <cell r="AI510" t="str">
            <v>農業用排水路（下流普通河川高橋川)</v>
          </cell>
          <cell r="AO510" t="str">
            <v>つくば市、土浦市、阿見町、美浦村、牛久市、稲敷市、河内町、龍ヶ崎市、利根町、守谷市、取手市</v>
          </cell>
          <cell r="AQ510" t="str">
            <v/>
          </cell>
          <cell r="AR510" t="str">
            <v>高度処理オキシディションディッチ法</v>
          </cell>
          <cell r="AS510" t="str">
            <v>0844201001</v>
          </cell>
          <cell r="AT510" t="str">
            <v/>
          </cell>
          <cell r="AU510" t="str">
            <v>10</v>
          </cell>
          <cell r="AV510" t="str">
            <v>10</v>
          </cell>
          <cell r="AW510">
            <v>1</v>
          </cell>
          <cell r="AX510">
            <v>0</v>
          </cell>
          <cell r="AY510">
            <v>0</v>
          </cell>
          <cell r="AZ510">
            <v>0</v>
          </cell>
          <cell r="BA510">
            <v>0</v>
          </cell>
          <cell r="BD510" t="str">
            <v/>
          </cell>
          <cell r="BE510">
            <v>1</v>
          </cell>
          <cell r="BG510" t="str">
            <v>1101</v>
          </cell>
        </row>
        <row r="511">
          <cell r="B511" t="str">
            <v>G085420106100100</v>
          </cell>
          <cell r="C511" t="str">
            <v>08.茨城県</v>
          </cell>
          <cell r="D511" t="str">
            <v>542</v>
          </cell>
          <cell r="E511" t="str">
            <v>五霞町</v>
          </cell>
          <cell r="F511" t="str">
            <v>01</v>
          </cell>
          <cell r="G511" t="str">
            <v>公共 単独</v>
          </cell>
          <cell r="H511" t="str">
            <v>公共下水道</v>
          </cell>
          <cell r="I511" t="str">
            <v>単独</v>
          </cell>
          <cell r="J511" t="str">
            <v>001</v>
          </cell>
          <cell r="K511" t="str">
            <v>五霞町環境浄化センター</v>
          </cell>
          <cell r="M511" t="str">
            <v>1</v>
          </cell>
          <cell r="N511" t="str">
            <v>1</v>
          </cell>
          <cell r="Q511">
            <v>31502</v>
          </cell>
          <cell r="R511" t="str">
            <v>昭和</v>
          </cell>
          <cell r="S511">
            <v>61</v>
          </cell>
          <cell r="T511">
            <v>3</v>
          </cell>
          <cell r="AB511">
            <v>5300</v>
          </cell>
          <cell r="AC511" t="str">
            <v>中川</v>
          </cell>
          <cell r="AD511" t="str">
            <v>Ｃ</v>
          </cell>
          <cell r="AE511" t="str">
            <v>ハ</v>
          </cell>
          <cell r="AF511">
            <v>15</v>
          </cell>
          <cell r="AK511" t="str">
            <v>冬木落とし</v>
          </cell>
          <cell r="AQ511" t="str">
            <v/>
          </cell>
          <cell r="AR511" t="str">
            <v>標準活性汚泥法</v>
          </cell>
          <cell r="AS511" t="str">
            <v>0854201001</v>
          </cell>
          <cell r="AT511" t="str">
            <v/>
          </cell>
          <cell r="AU511" t="str">
            <v>10</v>
          </cell>
          <cell r="AV511" t="str">
            <v>10</v>
          </cell>
          <cell r="AW511">
            <v>0</v>
          </cell>
          <cell r="AX511">
            <v>0</v>
          </cell>
          <cell r="AY511">
            <v>0</v>
          </cell>
          <cell r="AZ511">
            <v>0</v>
          </cell>
          <cell r="BA511">
            <v>0</v>
          </cell>
          <cell r="BD511" t="str">
            <v/>
          </cell>
          <cell r="BE511">
            <v>1</v>
          </cell>
          <cell r="BG511" t="str">
            <v>1100</v>
          </cell>
        </row>
        <row r="512">
          <cell r="B512" t="str">
            <v>G088010106100100</v>
          </cell>
          <cell r="C512" t="str">
            <v>08.茨城県</v>
          </cell>
          <cell r="D512" t="str">
            <v>801</v>
          </cell>
          <cell r="E512" t="str">
            <v>取手地方広域下水道組合</v>
          </cell>
          <cell r="F512" t="str">
            <v>01</v>
          </cell>
          <cell r="G512" t="str">
            <v>公共 単独</v>
          </cell>
          <cell r="H512" t="str">
            <v>公共下水道</v>
          </cell>
          <cell r="I512" t="str">
            <v>単独</v>
          </cell>
          <cell r="J512" t="str">
            <v>001</v>
          </cell>
          <cell r="K512" t="str">
            <v>県南クリーンセンター</v>
          </cell>
          <cell r="M512" t="str">
            <v>1</v>
          </cell>
          <cell r="N512" t="str">
            <v>1</v>
          </cell>
          <cell r="Q512">
            <v>31321</v>
          </cell>
          <cell r="R512" t="str">
            <v>昭和</v>
          </cell>
          <cell r="S512">
            <v>60</v>
          </cell>
          <cell r="T512">
            <v>10</v>
          </cell>
          <cell r="AB512">
            <v>159000</v>
          </cell>
          <cell r="AC512" t="str">
            <v>利根川下流</v>
          </cell>
          <cell r="AD512" t="str">
            <v>Ａ</v>
          </cell>
          <cell r="AE512" t="str">
            <v>イ</v>
          </cell>
          <cell r="AF512">
            <v>9.1</v>
          </cell>
          <cell r="AK512" t="str">
            <v>利根川</v>
          </cell>
          <cell r="AL512" t="str">
            <v>利根川浄水場取水口</v>
          </cell>
          <cell r="AM512">
            <v>1.2</v>
          </cell>
          <cell r="AO512" t="str">
            <v>茨城県</v>
          </cell>
          <cell r="AQ512" t="str">
            <v/>
          </cell>
          <cell r="AR512" t="str">
            <v>標準活性汚泥法</v>
          </cell>
          <cell r="AS512" t="str">
            <v>0880101001</v>
          </cell>
          <cell r="AT512" t="str">
            <v/>
          </cell>
          <cell r="AU512" t="str">
            <v>10</v>
          </cell>
          <cell r="AV512" t="str">
            <v>10</v>
          </cell>
          <cell r="AW512">
            <v>0</v>
          </cell>
          <cell r="AX512">
            <v>0</v>
          </cell>
          <cell r="AY512">
            <v>0</v>
          </cell>
          <cell r="AZ512">
            <v>0</v>
          </cell>
          <cell r="BA512">
            <v>0</v>
          </cell>
          <cell r="BD512" t="str">
            <v/>
          </cell>
          <cell r="BE512">
            <v>1</v>
          </cell>
          <cell r="BG512" t="str">
            <v>1100</v>
          </cell>
        </row>
        <row r="513">
          <cell r="B513" t="str">
            <v>G088020106100100</v>
          </cell>
          <cell r="C513" t="str">
            <v>08.茨城県</v>
          </cell>
          <cell r="D513" t="str">
            <v>802</v>
          </cell>
          <cell r="E513" t="str">
            <v>日立高萩広域下水道組合</v>
          </cell>
          <cell r="F513" t="str">
            <v>01</v>
          </cell>
          <cell r="G513" t="str">
            <v>公共 単独</v>
          </cell>
          <cell r="H513" t="str">
            <v>公共下水道</v>
          </cell>
          <cell r="I513" t="str">
            <v>単独</v>
          </cell>
          <cell r="J513" t="str">
            <v>001</v>
          </cell>
          <cell r="K513" t="str">
            <v>伊師浄化センター</v>
          </cell>
          <cell r="M513" t="str">
            <v>1</v>
          </cell>
          <cell r="N513" t="str">
            <v>1</v>
          </cell>
          <cell r="O513" t="str">
            <v>1</v>
          </cell>
          <cell r="Q513">
            <v>32599</v>
          </cell>
          <cell r="R513" t="str">
            <v>平成</v>
          </cell>
          <cell r="S513">
            <v>1</v>
          </cell>
          <cell r="T513">
            <v>4</v>
          </cell>
          <cell r="AB513">
            <v>66000</v>
          </cell>
          <cell r="AC513" t="str">
            <v>常磐地先水域</v>
          </cell>
          <cell r="AD513" t="str">
            <v>Ａ</v>
          </cell>
          <cell r="AE513" t="str">
            <v>イ</v>
          </cell>
          <cell r="AF513">
            <v>15</v>
          </cell>
          <cell r="AI513" t="str">
            <v>小石川</v>
          </cell>
          <cell r="AQ513" t="str">
            <v/>
          </cell>
          <cell r="AR513" t="str">
            <v>標準活性汚泥法</v>
          </cell>
          <cell r="AS513" t="str">
            <v>0880201001</v>
          </cell>
          <cell r="AT513" t="str">
            <v/>
          </cell>
          <cell r="AU513" t="str">
            <v>11</v>
          </cell>
          <cell r="AV513" t="str">
            <v>11</v>
          </cell>
          <cell r="AW513">
            <v>0</v>
          </cell>
          <cell r="AX513">
            <v>0</v>
          </cell>
          <cell r="AY513">
            <v>0</v>
          </cell>
          <cell r="AZ513">
            <v>0</v>
          </cell>
          <cell r="BA513">
            <v>0</v>
          </cell>
          <cell r="BD513" t="str">
            <v/>
          </cell>
          <cell r="BE513">
            <v>1</v>
          </cell>
          <cell r="BG513" t="str">
            <v>1110</v>
          </cell>
        </row>
        <row r="514">
          <cell r="B514" t="str">
            <v>G090018106100100</v>
          </cell>
          <cell r="C514" t="str">
            <v>09.栃木県</v>
          </cell>
          <cell r="D514" t="str">
            <v>001</v>
          </cell>
          <cell r="E514" t="str">
            <v>鬼怒川上流流域</v>
          </cell>
          <cell r="F514" t="str">
            <v>81</v>
          </cell>
          <cell r="G514" t="str">
            <v>流域</v>
          </cell>
          <cell r="H514" t="str">
            <v>流域下水道</v>
          </cell>
          <cell r="I514" t="str">
            <v/>
          </cell>
          <cell r="J514" t="str">
            <v>001</v>
          </cell>
          <cell r="K514" t="str">
            <v>鬼怒川上流浄化センター</v>
          </cell>
          <cell r="M514" t="str">
            <v>1</v>
          </cell>
          <cell r="N514" t="str">
            <v>1</v>
          </cell>
          <cell r="O514" t="str">
            <v>1</v>
          </cell>
          <cell r="Q514">
            <v>29646</v>
          </cell>
          <cell r="R514" t="str">
            <v>昭和</v>
          </cell>
          <cell r="S514">
            <v>56</v>
          </cell>
          <cell r="T514">
            <v>3</v>
          </cell>
          <cell r="AB514">
            <v>130800</v>
          </cell>
          <cell r="AC514" t="str">
            <v>鬼怒川(1)</v>
          </cell>
          <cell r="AD514" t="str">
            <v>ＡＡ</v>
          </cell>
          <cell r="AE514" t="str">
            <v>イ</v>
          </cell>
          <cell r="AF514">
            <v>15</v>
          </cell>
          <cell r="AK514" t="str">
            <v>鬼怒川</v>
          </cell>
          <cell r="AL514" t="str">
            <v>高間木取水場（取水堰）</v>
          </cell>
          <cell r="AN514">
            <v>10</v>
          </cell>
          <cell r="AO514" t="str">
            <v>宇都宮市</v>
          </cell>
          <cell r="AQ514" t="str">
            <v/>
          </cell>
          <cell r="AR514" t="str">
            <v>標準活性汚泥法</v>
          </cell>
          <cell r="AS514" t="str">
            <v>0900181001</v>
          </cell>
          <cell r="AT514" t="str">
            <v/>
          </cell>
          <cell r="AU514" t="str">
            <v>11</v>
          </cell>
          <cell r="AV514" t="str">
            <v>10</v>
          </cell>
          <cell r="AW514">
            <v>0</v>
          </cell>
          <cell r="AX514">
            <v>0</v>
          </cell>
          <cell r="AY514">
            <v>-1</v>
          </cell>
          <cell r="AZ514">
            <v>0</v>
          </cell>
          <cell r="BA514">
            <v>1</v>
          </cell>
          <cell r="BC514" t="str">
            <v>コンポスト休止</v>
          </cell>
          <cell r="BD514" t="str">
            <v>コンポスト休止</v>
          </cell>
          <cell r="BE514">
            <v>1</v>
          </cell>
          <cell r="BG514" t="str">
            <v>1110</v>
          </cell>
        </row>
        <row r="515">
          <cell r="B515" t="str">
            <v>G090018106100200</v>
          </cell>
          <cell r="C515" t="str">
            <v>09.栃木県</v>
          </cell>
          <cell r="D515" t="str">
            <v>001</v>
          </cell>
          <cell r="E515" t="str">
            <v>鬼怒川上流流域</v>
          </cell>
          <cell r="F515" t="str">
            <v>81</v>
          </cell>
          <cell r="G515" t="str">
            <v>流域</v>
          </cell>
          <cell r="H515" t="str">
            <v>流域下水道</v>
          </cell>
          <cell r="I515" t="str">
            <v/>
          </cell>
          <cell r="J515" t="str">
            <v>002</v>
          </cell>
          <cell r="K515" t="str">
            <v>中央浄化センター</v>
          </cell>
          <cell r="M515" t="str">
            <v>1</v>
          </cell>
          <cell r="N515" t="str">
            <v>1</v>
          </cell>
          <cell r="Q515">
            <v>31837</v>
          </cell>
          <cell r="R515" t="str">
            <v>昭和</v>
          </cell>
          <cell r="S515">
            <v>62</v>
          </cell>
          <cell r="T515">
            <v>3</v>
          </cell>
          <cell r="AB515">
            <v>137000</v>
          </cell>
          <cell r="AC515" t="str">
            <v>田川下流</v>
          </cell>
          <cell r="AD515" t="str">
            <v>Ｂ</v>
          </cell>
          <cell r="AE515" t="str">
            <v>ロ</v>
          </cell>
          <cell r="AF515">
            <v>15</v>
          </cell>
          <cell r="AK515" t="str">
            <v>田川</v>
          </cell>
          <cell r="AL515" t="str">
            <v>茨城県広域水道取水桶管</v>
          </cell>
          <cell r="AN515">
            <v>75</v>
          </cell>
          <cell r="AO515" t="str">
            <v>茨城県県南広域</v>
          </cell>
          <cell r="AQ515" t="str">
            <v/>
          </cell>
          <cell r="AR515" t="str">
            <v>標準活性汚泥法</v>
          </cell>
          <cell r="AS515" t="str">
            <v>0900181002</v>
          </cell>
          <cell r="AT515" t="str">
            <v/>
          </cell>
          <cell r="AU515" t="str">
            <v>10</v>
          </cell>
          <cell r="AV515" t="str">
            <v>10</v>
          </cell>
          <cell r="AW515">
            <v>0</v>
          </cell>
          <cell r="AX515">
            <v>0</v>
          </cell>
          <cell r="AY515">
            <v>0</v>
          </cell>
          <cell r="AZ515">
            <v>0</v>
          </cell>
          <cell r="BA515">
            <v>0</v>
          </cell>
          <cell r="BD515" t="str">
            <v/>
          </cell>
          <cell r="BE515">
            <v>1</v>
          </cell>
          <cell r="BG515" t="str">
            <v>1100</v>
          </cell>
        </row>
        <row r="516">
          <cell r="B516" t="str">
            <v>G090018106100300</v>
          </cell>
          <cell r="C516" t="str">
            <v>09.栃木県</v>
          </cell>
          <cell r="D516" t="str">
            <v>001</v>
          </cell>
          <cell r="E516" t="str">
            <v>鬼怒川上流流域</v>
          </cell>
          <cell r="F516" t="str">
            <v>81</v>
          </cell>
          <cell r="G516" t="str">
            <v>流域</v>
          </cell>
          <cell r="H516" t="str">
            <v>流域下水道</v>
          </cell>
          <cell r="I516" t="str">
            <v/>
          </cell>
          <cell r="J516" t="str">
            <v>003</v>
          </cell>
          <cell r="K516" t="str">
            <v>下水道資源化工場</v>
          </cell>
          <cell r="N516" t="str">
            <v>1</v>
          </cell>
          <cell r="O516" t="str">
            <v>1</v>
          </cell>
          <cell r="Q516">
            <v>37530</v>
          </cell>
          <cell r="R516" t="str">
            <v>平成</v>
          </cell>
          <cell r="S516">
            <v>14</v>
          </cell>
          <cell r="T516">
            <v>10</v>
          </cell>
          <cell r="AB516">
            <v>63000</v>
          </cell>
          <cell r="AC516" t="str">
            <v>該当しない</v>
          </cell>
          <cell r="AI516" t="str">
            <v>該当しない</v>
          </cell>
          <cell r="AQ516" t="str">
            <v/>
          </cell>
          <cell r="AR516" t="str">
            <v/>
          </cell>
          <cell r="AS516" t="str">
            <v>0900181003</v>
          </cell>
          <cell r="AT516" t="str">
            <v/>
          </cell>
          <cell r="AU516" t="str">
            <v>11</v>
          </cell>
          <cell r="AV516" t="str">
            <v>11</v>
          </cell>
          <cell r="AW516">
            <v>0</v>
          </cell>
          <cell r="AX516">
            <v>0</v>
          </cell>
          <cell r="AY516">
            <v>0</v>
          </cell>
          <cell r="AZ516">
            <v>0</v>
          </cell>
          <cell r="BA516">
            <v>0</v>
          </cell>
          <cell r="BD516" t="str">
            <v/>
          </cell>
          <cell r="BE516">
            <v>1</v>
          </cell>
          <cell r="BG516" t="str">
            <v>0110</v>
          </cell>
        </row>
        <row r="517">
          <cell r="B517" t="str">
            <v>G090028106100100</v>
          </cell>
          <cell r="C517" t="str">
            <v>09.栃木県</v>
          </cell>
          <cell r="D517" t="str">
            <v>002</v>
          </cell>
          <cell r="E517" t="str">
            <v>巴波川流域</v>
          </cell>
          <cell r="F517" t="str">
            <v>81</v>
          </cell>
          <cell r="G517" t="str">
            <v>流域</v>
          </cell>
          <cell r="H517" t="str">
            <v>流域下水道</v>
          </cell>
          <cell r="I517" t="str">
            <v/>
          </cell>
          <cell r="J517" t="str">
            <v>001</v>
          </cell>
          <cell r="K517" t="str">
            <v>巴波川浄化センター</v>
          </cell>
          <cell r="M517" t="str">
            <v>1</v>
          </cell>
          <cell r="N517" t="str">
            <v>1</v>
          </cell>
          <cell r="Q517">
            <v>30256</v>
          </cell>
          <cell r="R517" t="str">
            <v>昭和</v>
          </cell>
          <cell r="S517">
            <v>57</v>
          </cell>
          <cell r="T517">
            <v>11</v>
          </cell>
          <cell r="AB517">
            <v>109400</v>
          </cell>
          <cell r="AC517" t="str">
            <v>巴波川上流</v>
          </cell>
          <cell r="AD517" t="str">
            <v>Ｃ</v>
          </cell>
          <cell r="AE517" t="str">
            <v>イ</v>
          </cell>
          <cell r="AF517">
            <v>15</v>
          </cell>
          <cell r="AK517" t="str">
            <v>巴波川</v>
          </cell>
          <cell r="AL517" t="str">
            <v>庄和浄水場</v>
          </cell>
          <cell r="AO517" t="str">
            <v>春日部市、草加市外</v>
          </cell>
          <cell r="AQ517" t="str">
            <v/>
          </cell>
          <cell r="AR517" t="str">
            <v>標準活性汚泥法</v>
          </cell>
          <cell r="AS517" t="str">
            <v>0900281001</v>
          </cell>
          <cell r="AT517" t="str">
            <v/>
          </cell>
          <cell r="AU517" t="str">
            <v>10</v>
          </cell>
          <cell r="AV517" t="str">
            <v>10</v>
          </cell>
          <cell r="AW517">
            <v>0</v>
          </cell>
          <cell r="AX517">
            <v>0</v>
          </cell>
          <cell r="AY517">
            <v>0</v>
          </cell>
          <cell r="AZ517">
            <v>0</v>
          </cell>
          <cell r="BA517">
            <v>0</v>
          </cell>
          <cell r="BD517" t="str">
            <v/>
          </cell>
          <cell r="BE517">
            <v>1</v>
          </cell>
          <cell r="BG517" t="str">
            <v>1100</v>
          </cell>
        </row>
        <row r="518">
          <cell r="B518" t="str">
            <v>G090038106100100</v>
          </cell>
          <cell r="C518" t="str">
            <v>09.栃木県</v>
          </cell>
          <cell r="D518" t="str">
            <v>003</v>
          </cell>
          <cell r="E518" t="str">
            <v>北那須流域</v>
          </cell>
          <cell r="F518" t="str">
            <v>81</v>
          </cell>
          <cell r="G518" t="str">
            <v>流域</v>
          </cell>
          <cell r="H518" t="str">
            <v>流域下水道</v>
          </cell>
          <cell r="I518" t="str">
            <v/>
          </cell>
          <cell r="J518" t="str">
            <v>001</v>
          </cell>
          <cell r="K518" t="str">
            <v>北那須浄化センター</v>
          </cell>
          <cell r="M518" t="str">
            <v>1</v>
          </cell>
          <cell r="N518" t="str">
            <v>1</v>
          </cell>
          <cell r="Q518">
            <v>30621</v>
          </cell>
          <cell r="R518" t="str">
            <v>昭和</v>
          </cell>
          <cell r="S518">
            <v>58</v>
          </cell>
          <cell r="T518">
            <v>11</v>
          </cell>
          <cell r="AB518">
            <v>107500</v>
          </cell>
          <cell r="AC518" t="str">
            <v>蛇尾川</v>
          </cell>
          <cell r="AD518" t="str">
            <v>Ａ</v>
          </cell>
          <cell r="AE518" t="str">
            <v>イ</v>
          </cell>
          <cell r="AF518">
            <v>15</v>
          </cell>
          <cell r="AK518" t="str">
            <v>蛇尾川</v>
          </cell>
          <cell r="AL518" t="str">
            <v>茂木町水道</v>
          </cell>
          <cell r="AN518">
            <v>43.5</v>
          </cell>
          <cell r="AO518" t="str">
            <v>茂木町</v>
          </cell>
          <cell r="AQ518" t="str">
            <v/>
          </cell>
          <cell r="AR518" t="str">
            <v>標準活性汚泥法</v>
          </cell>
          <cell r="AS518" t="str">
            <v>0900381001</v>
          </cell>
          <cell r="AT518" t="str">
            <v/>
          </cell>
          <cell r="AU518" t="str">
            <v>10</v>
          </cell>
          <cell r="AV518" t="str">
            <v>10</v>
          </cell>
          <cell r="AW518">
            <v>0</v>
          </cell>
          <cell r="AX518">
            <v>0</v>
          </cell>
          <cell r="AY518">
            <v>0</v>
          </cell>
          <cell r="AZ518">
            <v>0</v>
          </cell>
          <cell r="BA518">
            <v>0</v>
          </cell>
          <cell r="BD518" t="str">
            <v/>
          </cell>
          <cell r="BE518">
            <v>1</v>
          </cell>
          <cell r="BG518" t="str">
            <v>1100</v>
          </cell>
        </row>
        <row r="519">
          <cell r="B519" t="str">
            <v>G090048106100100</v>
          </cell>
          <cell r="C519" t="str">
            <v>09.栃木県</v>
          </cell>
          <cell r="D519" t="str">
            <v>004</v>
          </cell>
          <cell r="E519" t="str">
            <v>渡良瀬川上流流域</v>
          </cell>
          <cell r="F519" t="str">
            <v>81</v>
          </cell>
          <cell r="G519" t="str">
            <v>流域</v>
          </cell>
          <cell r="H519" t="str">
            <v>流域下水道</v>
          </cell>
          <cell r="I519" t="str">
            <v/>
          </cell>
          <cell r="J519" t="str">
            <v>001</v>
          </cell>
          <cell r="K519" t="str">
            <v>秋山川浄化センター</v>
          </cell>
          <cell r="M519" t="str">
            <v>1</v>
          </cell>
          <cell r="N519" t="str">
            <v>1</v>
          </cell>
          <cell r="Q519">
            <v>27942</v>
          </cell>
          <cell r="R519" t="str">
            <v>昭和</v>
          </cell>
          <cell r="S519">
            <v>51</v>
          </cell>
          <cell r="T519">
            <v>7</v>
          </cell>
          <cell r="U519" t="str">
            <v>移管</v>
          </cell>
          <cell r="V519">
            <v>34789</v>
          </cell>
          <cell r="W519" t="str">
            <v>平成</v>
          </cell>
          <cell r="X519">
            <v>7</v>
          </cell>
          <cell r="Y519">
            <v>3</v>
          </cell>
          <cell r="AA519" t="str">
            <v>佐野市</v>
          </cell>
          <cell r="AB519">
            <v>6180</v>
          </cell>
          <cell r="AC519" t="str">
            <v>秋山川下流</v>
          </cell>
          <cell r="AD519" t="str">
            <v>Ｃ</v>
          </cell>
          <cell r="AE519" t="str">
            <v>イ</v>
          </cell>
          <cell r="AF519">
            <v>15</v>
          </cell>
          <cell r="AK519" t="str">
            <v>秋山川</v>
          </cell>
          <cell r="AL519" t="str">
            <v>佐野市奈良渕</v>
          </cell>
          <cell r="AM519">
            <v>9</v>
          </cell>
          <cell r="AO519" t="str">
            <v>佐野市</v>
          </cell>
          <cell r="AQ519" t="str">
            <v/>
          </cell>
          <cell r="AR519" t="str">
            <v>標準活性汚泥法</v>
          </cell>
          <cell r="AS519" t="str">
            <v>0900481001</v>
          </cell>
          <cell r="AT519" t="str">
            <v/>
          </cell>
          <cell r="AU519" t="str">
            <v>10</v>
          </cell>
          <cell r="AV519" t="str">
            <v>10</v>
          </cell>
          <cell r="AW519">
            <v>0</v>
          </cell>
          <cell r="AX519">
            <v>0</v>
          </cell>
          <cell r="AY519">
            <v>0</v>
          </cell>
          <cell r="AZ519">
            <v>0</v>
          </cell>
          <cell r="BA519">
            <v>0</v>
          </cell>
          <cell r="BD519" t="str">
            <v/>
          </cell>
          <cell r="BE519">
            <v>1</v>
          </cell>
          <cell r="BG519" t="str">
            <v>1100</v>
          </cell>
        </row>
        <row r="520">
          <cell r="B520" t="str">
            <v>G090058106100100</v>
          </cell>
          <cell r="C520" t="str">
            <v>09.栃木県</v>
          </cell>
          <cell r="D520" t="str">
            <v>005</v>
          </cell>
          <cell r="E520" t="str">
            <v>渡良瀬川下流流域</v>
          </cell>
          <cell r="F520" t="str">
            <v>81</v>
          </cell>
          <cell r="G520" t="str">
            <v>流域</v>
          </cell>
          <cell r="H520" t="str">
            <v>流域下水道</v>
          </cell>
          <cell r="I520" t="str">
            <v/>
          </cell>
          <cell r="J520" t="str">
            <v>001</v>
          </cell>
          <cell r="K520" t="str">
            <v>大岩藤浄化センター</v>
          </cell>
          <cell r="M520" t="str">
            <v>1</v>
          </cell>
          <cell r="N520" t="str">
            <v>1</v>
          </cell>
          <cell r="Q520">
            <v>35125</v>
          </cell>
          <cell r="R520" t="str">
            <v>平成</v>
          </cell>
          <cell r="S520">
            <v>8</v>
          </cell>
          <cell r="T520">
            <v>3</v>
          </cell>
          <cell r="AB520">
            <v>66500</v>
          </cell>
          <cell r="AC520" t="str">
            <v>渡良瀬川（3）</v>
          </cell>
          <cell r="AD520" t="str">
            <v>Ｂ</v>
          </cell>
          <cell r="AE520" t="str">
            <v>ハ</v>
          </cell>
          <cell r="AF520">
            <v>15</v>
          </cell>
          <cell r="AK520" t="str">
            <v>渡良瀬川</v>
          </cell>
          <cell r="AL520" t="str">
            <v>庄和浄水場</v>
          </cell>
          <cell r="AN520">
            <v>44</v>
          </cell>
          <cell r="AQ520" t="str">
            <v/>
          </cell>
          <cell r="AR520" t="str">
            <v>標準活性汚泥法</v>
          </cell>
          <cell r="AS520" t="str">
            <v>0900581001</v>
          </cell>
          <cell r="AT520" t="str">
            <v/>
          </cell>
          <cell r="AU520" t="str">
            <v>10</v>
          </cell>
          <cell r="AV520" t="str">
            <v>10</v>
          </cell>
          <cell r="AW520">
            <v>0</v>
          </cell>
          <cell r="AX520">
            <v>0</v>
          </cell>
          <cell r="AY520">
            <v>0</v>
          </cell>
          <cell r="AZ520">
            <v>0</v>
          </cell>
          <cell r="BA520">
            <v>0</v>
          </cell>
          <cell r="BD520" t="str">
            <v/>
          </cell>
          <cell r="BE520">
            <v>1</v>
          </cell>
          <cell r="BG520" t="str">
            <v>1100</v>
          </cell>
        </row>
        <row r="521">
          <cell r="B521" t="str">
            <v>G090058106100200</v>
          </cell>
          <cell r="C521" t="str">
            <v>09.栃木県</v>
          </cell>
          <cell r="D521" t="str">
            <v>005</v>
          </cell>
          <cell r="E521" t="str">
            <v>渡良瀬川下流流域</v>
          </cell>
          <cell r="F521" t="str">
            <v>81</v>
          </cell>
          <cell r="G521" t="str">
            <v>流域</v>
          </cell>
          <cell r="H521" t="str">
            <v>流域下水道</v>
          </cell>
          <cell r="I521" t="str">
            <v/>
          </cell>
          <cell r="J521" t="str">
            <v>002</v>
          </cell>
          <cell r="K521" t="str">
            <v>思川浄化センター</v>
          </cell>
          <cell r="M521" t="str">
            <v>1</v>
          </cell>
          <cell r="N521" t="str">
            <v>1</v>
          </cell>
          <cell r="Q521">
            <v>35855</v>
          </cell>
          <cell r="R521" t="str">
            <v>平成</v>
          </cell>
          <cell r="S521">
            <v>10</v>
          </cell>
          <cell r="T521">
            <v>3</v>
          </cell>
          <cell r="AB521">
            <v>39800</v>
          </cell>
          <cell r="AC521" t="str">
            <v>思川下流</v>
          </cell>
          <cell r="AD521" t="str">
            <v>Ｂ</v>
          </cell>
          <cell r="AE521" t="str">
            <v>イ</v>
          </cell>
          <cell r="AF521">
            <v>15</v>
          </cell>
          <cell r="AK521" t="str">
            <v>思川</v>
          </cell>
          <cell r="AL521" t="str">
            <v>古河市思川浄水場</v>
          </cell>
          <cell r="AM521">
            <v>3.5</v>
          </cell>
          <cell r="AO521" t="str">
            <v>古河</v>
          </cell>
          <cell r="AQ521" t="str">
            <v/>
          </cell>
          <cell r="AR521" t="str">
            <v>標準活性汚泥法</v>
          </cell>
          <cell r="AS521" t="str">
            <v>0900581002</v>
          </cell>
          <cell r="AT521" t="str">
            <v/>
          </cell>
          <cell r="AU521" t="str">
            <v>10</v>
          </cell>
          <cell r="AV521" t="str">
            <v>10</v>
          </cell>
          <cell r="AW521">
            <v>0</v>
          </cell>
          <cell r="AX521">
            <v>0</v>
          </cell>
          <cell r="AY521">
            <v>0</v>
          </cell>
          <cell r="AZ521">
            <v>0</v>
          </cell>
          <cell r="BA521">
            <v>0</v>
          </cell>
          <cell r="BD521" t="str">
            <v/>
          </cell>
          <cell r="BE521">
            <v>1</v>
          </cell>
          <cell r="BG521" t="str">
            <v>1100</v>
          </cell>
        </row>
        <row r="522">
          <cell r="B522" t="str">
            <v>G092010106100100</v>
          </cell>
          <cell r="C522" t="str">
            <v>09.栃木県</v>
          </cell>
          <cell r="D522" t="str">
            <v>201</v>
          </cell>
          <cell r="E522" t="str">
            <v>宇都宮市</v>
          </cell>
          <cell r="F522" t="str">
            <v>01</v>
          </cell>
          <cell r="G522" t="str">
            <v>公共 単独</v>
          </cell>
          <cell r="H522" t="str">
            <v>公共下水道</v>
          </cell>
          <cell r="I522" t="str">
            <v>単独</v>
          </cell>
          <cell r="J522" t="str">
            <v>001</v>
          </cell>
          <cell r="K522" t="str">
            <v>下河原水再生センター</v>
          </cell>
          <cell r="M522" t="str">
            <v>1</v>
          </cell>
          <cell r="N522" t="str">
            <v>1</v>
          </cell>
          <cell r="Q522">
            <v>23955</v>
          </cell>
          <cell r="R522" t="str">
            <v>昭和</v>
          </cell>
          <cell r="S522">
            <v>40</v>
          </cell>
          <cell r="T522">
            <v>8</v>
          </cell>
          <cell r="AB522">
            <v>22000</v>
          </cell>
          <cell r="AC522" t="str">
            <v>田川中流</v>
          </cell>
          <cell r="AD522" t="str">
            <v>Ｃ</v>
          </cell>
          <cell r="AE522" t="str">
            <v>ロ</v>
          </cell>
          <cell r="AF522">
            <v>15</v>
          </cell>
          <cell r="AK522" t="str">
            <v>田川</v>
          </cell>
          <cell r="AL522" t="str">
            <v>茨城県県南広域水道取水口</v>
          </cell>
          <cell r="AN522">
            <v>85</v>
          </cell>
          <cell r="AO522" t="str">
            <v>茨城県県南広域水道</v>
          </cell>
          <cell r="AQ522" t="str">
            <v/>
          </cell>
          <cell r="AR522" t="str">
            <v>標準活性汚泥法</v>
          </cell>
          <cell r="AS522" t="str">
            <v>0920101001</v>
          </cell>
          <cell r="AT522" t="str">
            <v/>
          </cell>
          <cell r="AU522" t="str">
            <v>10</v>
          </cell>
          <cell r="AV522" t="str">
            <v>10</v>
          </cell>
          <cell r="AW522">
            <v>0</v>
          </cell>
          <cell r="AX522">
            <v>0</v>
          </cell>
          <cell r="AY522">
            <v>0</v>
          </cell>
          <cell r="AZ522">
            <v>0</v>
          </cell>
          <cell r="BA522">
            <v>0</v>
          </cell>
          <cell r="BD522" t="str">
            <v/>
          </cell>
          <cell r="BE522">
            <v>1</v>
          </cell>
          <cell r="BG522" t="str">
            <v>1100</v>
          </cell>
        </row>
        <row r="523">
          <cell r="B523" t="str">
            <v>G092010106100200</v>
          </cell>
          <cell r="C523" t="str">
            <v>09.栃木県</v>
          </cell>
          <cell r="D523" t="str">
            <v>201</v>
          </cell>
          <cell r="E523" t="str">
            <v>宇都宮市</v>
          </cell>
          <cell r="F523" t="str">
            <v>01</v>
          </cell>
          <cell r="G523" t="str">
            <v>公共 単独</v>
          </cell>
          <cell r="H523" t="str">
            <v>公共下水道</v>
          </cell>
          <cell r="I523" t="str">
            <v>単独</v>
          </cell>
          <cell r="J523" t="str">
            <v>002</v>
          </cell>
          <cell r="K523" t="str">
            <v>川田水再生センター</v>
          </cell>
          <cell r="M523" t="str">
            <v>1</v>
          </cell>
          <cell r="N523" t="str">
            <v>1</v>
          </cell>
          <cell r="Q523">
            <v>28642</v>
          </cell>
          <cell r="R523" t="str">
            <v>昭和</v>
          </cell>
          <cell r="S523">
            <v>53</v>
          </cell>
          <cell r="T523">
            <v>6</v>
          </cell>
          <cell r="AB523">
            <v>97200</v>
          </cell>
          <cell r="AC523" t="str">
            <v>田川中流</v>
          </cell>
          <cell r="AD523" t="str">
            <v>Ｃ</v>
          </cell>
          <cell r="AE523" t="str">
            <v>ロ</v>
          </cell>
          <cell r="AF523">
            <v>15</v>
          </cell>
          <cell r="AK523" t="str">
            <v>田川</v>
          </cell>
          <cell r="AL523" t="str">
            <v>茨城県県南広域水道取水口</v>
          </cell>
          <cell r="AN523">
            <v>83</v>
          </cell>
          <cell r="AO523" t="str">
            <v>茨城県県南広域水道</v>
          </cell>
          <cell r="AQ523" t="str">
            <v/>
          </cell>
          <cell r="AR523" t="str">
            <v>標準活性汚泥法</v>
          </cell>
          <cell r="AS523" t="str">
            <v>0920101002</v>
          </cell>
          <cell r="AT523" t="str">
            <v/>
          </cell>
          <cell r="AU523" t="str">
            <v>10</v>
          </cell>
          <cell r="AV523" t="str">
            <v>10</v>
          </cell>
          <cell r="AW523">
            <v>0</v>
          </cell>
          <cell r="AX523">
            <v>0</v>
          </cell>
          <cell r="AY523">
            <v>0</v>
          </cell>
          <cell r="AZ523">
            <v>0</v>
          </cell>
          <cell r="BA523">
            <v>0</v>
          </cell>
          <cell r="BD523" t="str">
            <v/>
          </cell>
          <cell r="BE523">
            <v>1</v>
          </cell>
          <cell r="BG523" t="str">
            <v>1100</v>
          </cell>
        </row>
        <row r="524">
          <cell r="B524" t="str">
            <v>G092010106100300</v>
          </cell>
          <cell r="C524" t="str">
            <v>09.栃木県</v>
          </cell>
          <cell r="D524" t="str">
            <v>201</v>
          </cell>
          <cell r="E524" t="str">
            <v>宇都宮市</v>
          </cell>
          <cell r="F524" t="str">
            <v>01</v>
          </cell>
          <cell r="G524" t="str">
            <v>公共 単独</v>
          </cell>
          <cell r="H524" t="str">
            <v>公共下水道</v>
          </cell>
          <cell r="I524" t="str">
            <v>単独</v>
          </cell>
          <cell r="J524" t="str">
            <v>003</v>
          </cell>
          <cell r="K524" t="str">
            <v>河内水再生センター</v>
          </cell>
          <cell r="M524" t="str">
            <v>1</v>
          </cell>
          <cell r="N524" t="str">
            <v>1</v>
          </cell>
          <cell r="Q524">
            <v>34790</v>
          </cell>
          <cell r="R524" t="str">
            <v>平成</v>
          </cell>
          <cell r="S524">
            <v>7</v>
          </cell>
          <cell r="T524">
            <v>4</v>
          </cell>
          <cell r="AB524">
            <v>48641</v>
          </cell>
          <cell r="AC524" t="str">
            <v>鬼怒川</v>
          </cell>
          <cell r="AD524" t="str">
            <v>Ａ</v>
          </cell>
          <cell r="AE524" t="str">
            <v>イ</v>
          </cell>
          <cell r="AF524">
            <v>15</v>
          </cell>
          <cell r="AK524" t="str">
            <v>鬼怒川</v>
          </cell>
          <cell r="AL524" t="str">
            <v>岡本頭首工</v>
          </cell>
          <cell r="AM524">
            <v>2.5</v>
          </cell>
          <cell r="AO524" t="str">
            <v>宇都宮市，真岡市，益子町</v>
          </cell>
          <cell r="AQ524" t="str">
            <v/>
          </cell>
          <cell r="AR524" t="str">
            <v>オキシディションディッチ法</v>
          </cell>
          <cell r="AS524" t="str">
            <v>0920101003</v>
          </cell>
          <cell r="AT524" t="str">
            <v/>
          </cell>
          <cell r="AU524" t="str">
            <v>10</v>
          </cell>
          <cell r="AV524" t="str">
            <v>10</v>
          </cell>
          <cell r="AW524">
            <v>0</v>
          </cell>
          <cell r="AX524">
            <v>0</v>
          </cell>
          <cell r="AY524">
            <v>0</v>
          </cell>
          <cell r="AZ524">
            <v>0</v>
          </cell>
          <cell r="BA524">
            <v>0</v>
          </cell>
          <cell r="BD524" t="str">
            <v/>
          </cell>
          <cell r="BE524">
            <v>1</v>
          </cell>
          <cell r="BG524" t="str">
            <v>1100</v>
          </cell>
        </row>
        <row r="525">
          <cell r="B525" t="str">
            <v>G092010106100400</v>
          </cell>
          <cell r="C525" t="str">
            <v>09.栃木県</v>
          </cell>
          <cell r="D525" t="str">
            <v>201</v>
          </cell>
          <cell r="E525" t="str">
            <v>宇都宮市</v>
          </cell>
          <cell r="F525" t="str">
            <v>01</v>
          </cell>
          <cell r="G525" t="str">
            <v>公共 単独</v>
          </cell>
          <cell r="H525" t="str">
            <v>公共下水道</v>
          </cell>
          <cell r="I525" t="str">
            <v>単独</v>
          </cell>
          <cell r="J525" t="str">
            <v>004</v>
          </cell>
          <cell r="K525" t="str">
            <v>清原水再生センター</v>
          </cell>
          <cell r="M525" t="str">
            <v>1</v>
          </cell>
          <cell r="N525" t="str">
            <v>1</v>
          </cell>
          <cell r="Q525">
            <v>36617</v>
          </cell>
          <cell r="R525" t="str">
            <v>平成</v>
          </cell>
          <cell r="S525">
            <v>12</v>
          </cell>
          <cell r="T525">
            <v>4</v>
          </cell>
          <cell r="AB525">
            <v>42000</v>
          </cell>
          <cell r="AC525" t="str">
            <v>鬼怒川</v>
          </cell>
          <cell r="AD525" t="str">
            <v>Ａ</v>
          </cell>
          <cell r="AE525" t="str">
            <v>イ</v>
          </cell>
          <cell r="AF525">
            <v>15</v>
          </cell>
          <cell r="AK525" t="str">
            <v>鬼怒川</v>
          </cell>
          <cell r="AL525" t="str">
            <v>岡本頭首工</v>
          </cell>
          <cell r="AM525">
            <v>8.5</v>
          </cell>
          <cell r="AO525" t="str">
            <v>宇都宮市，真岡市，益子町</v>
          </cell>
          <cell r="AQ525" t="str">
            <v/>
          </cell>
          <cell r="AR525" t="str">
            <v>標準活性汚泥法</v>
          </cell>
          <cell r="AS525" t="str">
            <v>0920101004</v>
          </cell>
          <cell r="AT525" t="str">
            <v/>
          </cell>
          <cell r="AU525" t="str">
            <v>10</v>
          </cell>
          <cell r="AV525" t="str">
            <v>10</v>
          </cell>
          <cell r="AW525">
            <v>0</v>
          </cell>
          <cell r="AX525">
            <v>0</v>
          </cell>
          <cell r="AY525">
            <v>0</v>
          </cell>
          <cell r="AZ525">
            <v>0</v>
          </cell>
          <cell r="BA525">
            <v>0</v>
          </cell>
          <cell r="BD525" t="str">
            <v/>
          </cell>
          <cell r="BE525">
            <v>1</v>
          </cell>
          <cell r="BG525" t="str">
            <v>1100</v>
          </cell>
        </row>
        <row r="526">
          <cell r="B526" t="str">
            <v>G092010106100500</v>
          </cell>
          <cell r="C526" t="str">
            <v>09.栃木県</v>
          </cell>
          <cell r="D526" t="str">
            <v>201</v>
          </cell>
          <cell r="E526" t="str">
            <v>宇都宮市</v>
          </cell>
          <cell r="F526" t="str">
            <v>01</v>
          </cell>
          <cell r="G526" t="str">
            <v>公共 単独</v>
          </cell>
          <cell r="H526" t="str">
            <v>公共下水道</v>
          </cell>
          <cell r="I526" t="str">
            <v>単独</v>
          </cell>
          <cell r="J526" t="str">
            <v>005</v>
          </cell>
          <cell r="K526" t="str">
            <v>上河内水再生センター</v>
          </cell>
          <cell r="M526" t="str">
            <v>1</v>
          </cell>
          <cell r="N526" t="str">
            <v>1</v>
          </cell>
          <cell r="Q526">
            <v>38808</v>
          </cell>
          <cell r="R526" t="str">
            <v>平成</v>
          </cell>
          <cell r="S526">
            <v>18</v>
          </cell>
          <cell r="T526">
            <v>4</v>
          </cell>
          <cell r="AB526">
            <v>17700</v>
          </cell>
          <cell r="AC526" t="str">
            <v>西鬼怒川</v>
          </cell>
          <cell r="AD526" t="str">
            <v>Ａ</v>
          </cell>
          <cell r="AE526" t="str">
            <v>イ</v>
          </cell>
          <cell r="AF526">
            <v>15</v>
          </cell>
          <cell r="AI526" t="str">
            <v>叶川</v>
          </cell>
          <cell r="AK526" t="str">
            <v>西鬼怒川</v>
          </cell>
          <cell r="AL526" t="str">
            <v>高間木取水口</v>
          </cell>
          <cell r="AM526">
            <v>6</v>
          </cell>
          <cell r="AO526" t="str">
            <v>宇都宮市</v>
          </cell>
          <cell r="AQ526" t="str">
            <v/>
          </cell>
          <cell r="AR526" t="str">
            <v>オキシディションディッチ法</v>
          </cell>
          <cell r="AS526" t="str">
            <v>0920101005</v>
          </cell>
          <cell r="AT526" t="str">
            <v/>
          </cell>
          <cell r="AU526" t="str">
            <v>10</v>
          </cell>
          <cell r="AV526" t="str">
            <v>10</v>
          </cell>
          <cell r="AW526">
            <v>0</v>
          </cell>
          <cell r="AX526">
            <v>0</v>
          </cell>
          <cell r="AY526">
            <v>0</v>
          </cell>
          <cell r="AZ526">
            <v>0</v>
          </cell>
          <cell r="BA526">
            <v>0</v>
          </cell>
          <cell r="BD526" t="str">
            <v/>
          </cell>
          <cell r="BE526">
            <v>1</v>
          </cell>
          <cell r="BG526" t="str">
            <v>1100</v>
          </cell>
        </row>
        <row r="527">
          <cell r="B527" t="str">
            <v>G092020106100100</v>
          </cell>
          <cell r="C527" t="str">
            <v>09.栃木県</v>
          </cell>
          <cell r="D527" t="str">
            <v>202</v>
          </cell>
          <cell r="E527" t="str">
            <v>足利市</v>
          </cell>
          <cell r="F527" t="str">
            <v>01</v>
          </cell>
          <cell r="G527" t="str">
            <v>公共 単独</v>
          </cell>
          <cell r="H527" t="str">
            <v>公共下水道</v>
          </cell>
          <cell r="I527" t="str">
            <v>単独</v>
          </cell>
          <cell r="J527" t="str">
            <v>001</v>
          </cell>
          <cell r="K527" t="str">
            <v>足利市水処理センター</v>
          </cell>
          <cell r="M527" t="str">
            <v>1</v>
          </cell>
          <cell r="N527" t="str">
            <v>1</v>
          </cell>
          <cell r="P527" t="str">
            <v>1</v>
          </cell>
          <cell r="Q527">
            <v>28277</v>
          </cell>
          <cell r="R527" t="str">
            <v>昭和</v>
          </cell>
          <cell r="S527">
            <v>52</v>
          </cell>
          <cell r="T527">
            <v>6</v>
          </cell>
          <cell r="AB527">
            <v>62000</v>
          </cell>
          <cell r="AC527" t="str">
            <v>袋川下流</v>
          </cell>
          <cell r="AD527" t="str">
            <v>Ｄ</v>
          </cell>
          <cell r="AE527" t="str">
            <v>ロ</v>
          </cell>
          <cell r="AF527">
            <v>15</v>
          </cell>
          <cell r="AK527" t="str">
            <v>袋川</v>
          </cell>
          <cell r="AL527" t="str">
            <v>佐野市上水樋管</v>
          </cell>
          <cell r="AN527">
            <v>5</v>
          </cell>
          <cell r="AO527" t="str">
            <v>佐野市</v>
          </cell>
          <cell r="AQ527" t="str">
            <v/>
          </cell>
          <cell r="AR527" t="str">
            <v>標準活性汚泥法</v>
          </cell>
          <cell r="AS527" t="str">
            <v>0920201001</v>
          </cell>
          <cell r="AT527" t="str">
            <v/>
          </cell>
          <cell r="AU527" t="str">
            <v>10</v>
          </cell>
          <cell r="AV527" t="str">
            <v>10</v>
          </cell>
          <cell r="AW527">
            <v>1</v>
          </cell>
          <cell r="AX527">
            <v>0</v>
          </cell>
          <cell r="AY527">
            <v>0</v>
          </cell>
          <cell r="AZ527">
            <v>0</v>
          </cell>
          <cell r="BA527">
            <v>0</v>
          </cell>
          <cell r="BD527" t="str">
            <v/>
          </cell>
          <cell r="BE527">
            <v>1</v>
          </cell>
          <cell r="BG527" t="str">
            <v>1101</v>
          </cell>
        </row>
        <row r="528">
          <cell r="B528" t="str">
            <v>G092020106100200</v>
          </cell>
          <cell r="C528" t="str">
            <v>09.栃木県</v>
          </cell>
          <cell r="D528" t="str">
            <v>202</v>
          </cell>
          <cell r="E528" t="str">
            <v>足利市</v>
          </cell>
          <cell r="F528" t="str">
            <v>01</v>
          </cell>
          <cell r="G528" t="str">
            <v>公共 単独</v>
          </cell>
          <cell r="H528" t="str">
            <v>公共下水道</v>
          </cell>
          <cell r="I528" t="str">
            <v>単独</v>
          </cell>
          <cell r="J528" t="str">
            <v>002</v>
          </cell>
          <cell r="K528" t="str">
            <v>坂西団地水処理センター</v>
          </cell>
          <cell r="M528" t="str">
            <v>1</v>
          </cell>
          <cell r="N528" t="str">
            <v>1</v>
          </cell>
          <cell r="Q528">
            <v>33970</v>
          </cell>
          <cell r="R528" t="str">
            <v>平成</v>
          </cell>
          <cell r="S528">
            <v>5</v>
          </cell>
          <cell r="T528">
            <v>1</v>
          </cell>
          <cell r="AB528">
            <v>1300</v>
          </cell>
          <cell r="AC528" t="str">
            <v>松田川下流</v>
          </cell>
          <cell r="AD528" t="str">
            <v>Ｂ</v>
          </cell>
          <cell r="AE528" t="str">
            <v>イ</v>
          </cell>
          <cell r="AF528">
            <v>15</v>
          </cell>
          <cell r="AI528" t="str">
            <v>大前葉鹿分水路</v>
          </cell>
          <cell r="AK528" t="str">
            <v>松田川</v>
          </cell>
          <cell r="AL528" t="str">
            <v>佐野市上水樋管</v>
          </cell>
          <cell r="AN528">
            <v>17</v>
          </cell>
          <cell r="AO528" t="str">
            <v>佐野市</v>
          </cell>
          <cell r="AQ528" t="str">
            <v/>
          </cell>
          <cell r="AR528" t="str">
            <v>長時間エアレーション法</v>
          </cell>
          <cell r="AS528" t="str">
            <v>0920201002</v>
          </cell>
          <cell r="AT528" t="str">
            <v/>
          </cell>
          <cell r="AU528" t="str">
            <v>10</v>
          </cell>
          <cell r="AV528" t="str">
            <v>10</v>
          </cell>
          <cell r="AW528">
            <v>0</v>
          </cell>
          <cell r="AX528">
            <v>0</v>
          </cell>
          <cell r="AY528">
            <v>0</v>
          </cell>
          <cell r="AZ528">
            <v>0</v>
          </cell>
          <cell r="BA528">
            <v>0</v>
          </cell>
          <cell r="BD528" t="str">
            <v/>
          </cell>
          <cell r="BE528">
            <v>1</v>
          </cell>
          <cell r="BG528" t="str">
            <v>1100</v>
          </cell>
        </row>
        <row r="529">
          <cell r="B529" t="str">
            <v>G092050106100100</v>
          </cell>
          <cell r="C529" t="str">
            <v>09.栃木県</v>
          </cell>
          <cell r="D529" t="str">
            <v>205</v>
          </cell>
          <cell r="E529" t="str">
            <v>鹿沼市</v>
          </cell>
          <cell r="F529" t="str">
            <v>01</v>
          </cell>
          <cell r="G529" t="str">
            <v>公共 単独</v>
          </cell>
          <cell r="H529" t="str">
            <v>公共下水道</v>
          </cell>
          <cell r="I529" t="str">
            <v>単独</v>
          </cell>
          <cell r="J529" t="str">
            <v>001</v>
          </cell>
          <cell r="K529" t="str">
            <v>黒川終末処理場</v>
          </cell>
          <cell r="M529" t="str">
            <v>1</v>
          </cell>
          <cell r="N529" t="str">
            <v>1</v>
          </cell>
          <cell r="P529" t="str">
            <v>1</v>
          </cell>
          <cell r="Q529">
            <v>27912</v>
          </cell>
          <cell r="R529" t="str">
            <v>昭和</v>
          </cell>
          <cell r="S529">
            <v>51</v>
          </cell>
          <cell r="T529">
            <v>6</v>
          </cell>
          <cell r="AB529">
            <v>37022</v>
          </cell>
          <cell r="AC529" t="str">
            <v>黒川</v>
          </cell>
          <cell r="AD529" t="str">
            <v>Ａ</v>
          </cell>
          <cell r="AE529" t="str">
            <v>イ</v>
          </cell>
          <cell r="AF529">
            <v>15</v>
          </cell>
          <cell r="AK529" t="str">
            <v>黒川</v>
          </cell>
          <cell r="AL529" t="str">
            <v>東島田取水棟</v>
          </cell>
          <cell r="AN529">
            <v>30</v>
          </cell>
          <cell r="AO529" t="str">
            <v>小山市</v>
          </cell>
          <cell r="AQ529" t="str">
            <v/>
          </cell>
          <cell r="AR529" t="str">
            <v>標準活性汚泥法</v>
          </cell>
          <cell r="AS529" t="str">
            <v>0920501001</v>
          </cell>
          <cell r="AT529" t="str">
            <v/>
          </cell>
          <cell r="AU529" t="str">
            <v>10</v>
          </cell>
          <cell r="AV529" t="str">
            <v>10</v>
          </cell>
          <cell r="AW529">
            <v>1</v>
          </cell>
          <cell r="AX529">
            <v>0</v>
          </cell>
          <cell r="AY529">
            <v>0</v>
          </cell>
          <cell r="AZ529">
            <v>0</v>
          </cell>
          <cell r="BA529">
            <v>0</v>
          </cell>
          <cell r="BD529" t="str">
            <v/>
          </cell>
          <cell r="BE529">
            <v>1</v>
          </cell>
          <cell r="BG529" t="str">
            <v>1101</v>
          </cell>
        </row>
        <row r="530">
          <cell r="B530" t="str">
            <v>G092050106100200</v>
          </cell>
          <cell r="C530" t="str">
            <v>09.栃木県</v>
          </cell>
          <cell r="D530" t="str">
            <v>205</v>
          </cell>
          <cell r="E530" t="str">
            <v>鹿沼市</v>
          </cell>
          <cell r="F530" t="str">
            <v>01</v>
          </cell>
          <cell r="G530" t="str">
            <v>公共 単独</v>
          </cell>
          <cell r="H530" t="str">
            <v>公共下水道</v>
          </cell>
          <cell r="I530" t="str">
            <v>単独</v>
          </cell>
          <cell r="J530" t="str">
            <v>002</v>
          </cell>
          <cell r="K530" t="str">
            <v>粟野水処理センター</v>
          </cell>
          <cell r="M530" t="str">
            <v>1</v>
          </cell>
          <cell r="N530" t="str">
            <v>1</v>
          </cell>
          <cell r="Q530">
            <v>35855</v>
          </cell>
          <cell r="R530" t="str">
            <v>平成</v>
          </cell>
          <cell r="S530">
            <v>10</v>
          </cell>
          <cell r="T530">
            <v>3</v>
          </cell>
          <cell r="AB530">
            <v>15716</v>
          </cell>
          <cell r="AC530" t="str">
            <v>思川</v>
          </cell>
          <cell r="AD530" t="str">
            <v>Ａ</v>
          </cell>
          <cell r="AE530" t="str">
            <v>イ</v>
          </cell>
          <cell r="AF530">
            <v>15</v>
          </cell>
          <cell r="AK530" t="str">
            <v>思川</v>
          </cell>
          <cell r="AL530" t="str">
            <v>東島田取水棟</v>
          </cell>
          <cell r="AN530">
            <v>20</v>
          </cell>
          <cell r="AO530" t="str">
            <v>小山市</v>
          </cell>
          <cell r="AQ530" t="str">
            <v/>
          </cell>
          <cell r="AR530" t="str">
            <v>オキシディションディッチ法</v>
          </cell>
          <cell r="AS530" t="str">
            <v>0920501002</v>
          </cell>
          <cell r="AT530" t="str">
            <v/>
          </cell>
          <cell r="AU530" t="str">
            <v>10</v>
          </cell>
          <cell r="AV530" t="str">
            <v>10</v>
          </cell>
          <cell r="AW530">
            <v>0</v>
          </cell>
          <cell r="AX530">
            <v>0</v>
          </cell>
          <cell r="AY530">
            <v>0</v>
          </cell>
          <cell r="AZ530">
            <v>0</v>
          </cell>
          <cell r="BA530">
            <v>0</v>
          </cell>
          <cell r="BD530" t="str">
            <v/>
          </cell>
          <cell r="BE530">
            <v>1</v>
          </cell>
          <cell r="BG530" t="str">
            <v>1100</v>
          </cell>
        </row>
        <row r="531">
          <cell r="B531" t="str">
            <v>G092050206100300</v>
          </cell>
          <cell r="C531" t="str">
            <v>09.栃木県</v>
          </cell>
          <cell r="D531" t="str">
            <v>205</v>
          </cell>
          <cell r="E531" t="str">
            <v>鹿沼市</v>
          </cell>
          <cell r="F531" t="str">
            <v>02</v>
          </cell>
          <cell r="G531" t="str">
            <v>特環 単独</v>
          </cell>
          <cell r="H531" t="str">
            <v>特定環境保全公共下水道</v>
          </cell>
          <cell r="I531" t="str">
            <v>単独</v>
          </cell>
          <cell r="J531" t="str">
            <v>003</v>
          </cell>
          <cell r="K531" t="str">
            <v>古峰原水処理センター</v>
          </cell>
          <cell r="M531" t="str">
            <v>1</v>
          </cell>
          <cell r="Q531">
            <v>38443</v>
          </cell>
          <cell r="R531" t="str">
            <v>平成</v>
          </cell>
          <cell r="S531">
            <v>17</v>
          </cell>
          <cell r="T531">
            <v>4</v>
          </cell>
          <cell r="AB531">
            <v>1082</v>
          </cell>
          <cell r="AC531" t="str">
            <v>大芦川</v>
          </cell>
          <cell r="AD531" t="str">
            <v>ＡＡ</v>
          </cell>
          <cell r="AE531" t="str">
            <v>イ</v>
          </cell>
          <cell r="AF531">
            <v>15</v>
          </cell>
          <cell r="AK531" t="str">
            <v>大芦川</v>
          </cell>
          <cell r="AL531" t="str">
            <v>東島田取水棟</v>
          </cell>
          <cell r="AN531">
            <v>50</v>
          </cell>
          <cell r="AO531" t="str">
            <v>小山市</v>
          </cell>
          <cell r="AQ531" t="str">
            <v/>
          </cell>
          <cell r="AR531" t="str">
            <v>その他処理方法</v>
          </cell>
          <cell r="AS531" t="str">
            <v>0920502003</v>
          </cell>
          <cell r="AT531" t="str">
            <v/>
          </cell>
          <cell r="AU531" t="str">
            <v>00</v>
          </cell>
          <cell r="AV531" t="str">
            <v>00</v>
          </cell>
          <cell r="AW531">
            <v>0</v>
          </cell>
          <cell r="AX531">
            <v>0</v>
          </cell>
          <cell r="AY531">
            <v>0</v>
          </cell>
          <cell r="AZ531">
            <v>0</v>
          </cell>
          <cell r="BA531">
            <v>0</v>
          </cell>
          <cell r="BD531" t="str">
            <v/>
          </cell>
          <cell r="BE531">
            <v>1</v>
          </cell>
          <cell r="BG531" t="str">
            <v>1000</v>
          </cell>
        </row>
        <row r="532">
          <cell r="B532" t="str">
            <v>G092050206100400</v>
          </cell>
          <cell r="C532" t="str">
            <v>09.栃木県</v>
          </cell>
          <cell r="D532" t="str">
            <v>205</v>
          </cell>
          <cell r="E532" t="str">
            <v>鹿沼市</v>
          </cell>
          <cell r="F532" t="str">
            <v>02</v>
          </cell>
          <cell r="G532" t="str">
            <v>特環 単独</v>
          </cell>
          <cell r="H532" t="str">
            <v>特定環境保全公共下水道</v>
          </cell>
          <cell r="I532" t="str">
            <v>単独</v>
          </cell>
          <cell r="J532" t="str">
            <v>004</v>
          </cell>
          <cell r="K532" t="str">
            <v>西沢水処理センター</v>
          </cell>
          <cell r="M532" t="str">
            <v>1</v>
          </cell>
          <cell r="N532" t="str">
            <v>1</v>
          </cell>
          <cell r="Q532">
            <v>39539</v>
          </cell>
          <cell r="R532" t="str">
            <v>平成</v>
          </cell>
          <cell r="S532">
            <v>20</v>
          </cell>
          <cell r="T532">
            <v>4</v>
          </cell>
          <cell r="AB532">
            <v>6887</v>
          </cell>
          <cell r="AC532" t="str">
            <v>思川</v>
          </cell>
          <cell r="AD532" t="str">
            <v>Ａ</v>
          </cell>
          <cell r="AE532" t="str">
            <v>イ</v>
          </cell>
          <cell r="AF532">
            <v>15</v>
          </cell>
          <cell r="AK532" t="str">
            <v>思川</v>
          </cell>
          <cell r="AL532" t="str">
            <v>東島田取水棟</v>
          </cell>
          <cell r="AN532">
            <v>40</v>
          </cell>
          <cell r="AO532" t="str">
            <v>小山市</v>
          </cell>
          <cell r="AQ532" t="str">
            <v/>
          </cell>
          <cell r="AR532" t="str">
            <v>オキシディションディッチ法</v>
          </cell>
          <cell r="AS532" t="str">
            <v>0920502004</v>
          </cell>
          <cell r="AT532" t="str">
            <v/>
          </cell>
          <cell r="AU532" t="str">
            <v>10</v>
          </cell>
          <cell r="AV532" t="str">
            <v>10</v>
          </cell>
          <cell r="AW532">
            <v>0</v>
          </cell>
          <cell r="AX532">
            <v>0</v>
          </cell>
          <cell r="AY532">
            <v>0</v>
          </cell>
          <cell r="AZ532">
            <v>0</v>
          </cell>
          <cell r="BA532">
            <v>0</v>
          </cell>
          <cell r="BD532" t="str">
            <v/>
          </cell>
          <cell r="BE532">
            <v>1</v>
          </cell>
          <cell r="BG532" t="str">
            <v>1100</v>
          </cell>
        </row>
        <row r="533">
          <cell r="B533" t="str">
            <v>G092060106100100</v>
          </cell>
          <cell r="C533" t="str">
            <v>09.栃木県</v>
          </cell>
          <cell r="D533" t="str">
            <v>206</v>
          </cell>
          <cell r="E533" t="str">
            <v>日光市</v>
          </cell>
          <cell r="F533" t="str">
            <v>01</v>
          </cell>
          <cell r="G533" t="str">
            <v>公共 単独</v>
          </cell>
          <cell r="H533" t="str">
            <v>公共下水道</v>
          </cell>
          <cell r="I533" t="str">
            <v>単独</v>
          </cell>
          <cell r="J533" t="str">
            <v>001</v>
          </cell>
          <cell r="K533" t="str">
            <v>中宮祠水処理センター</v>
          </cell>
          <cell r="M533" t="str">
            <v>1</v>
          </cell>
          <cell r="N533" t="str">
            <v>1</v>
          </cell>
          <cell r="Q533">
            <v>23651</v>
          </cell>
          <cell r="R533" t="str">
            <v>昭和</v>
          </cell>
          <cell r="S533">
            <v>39</v>
          </cell>
          <cell r="T533">
            <v>10</v>
          </cell>
          <cell r="V533">
            <v>38777</v>
          </cell>
          <cell r="W533" t="str">
            <v>平成</v>
          </cell>
          <cell r="X533">
            <v>18</v>
          </cell>
          <cell r="Y533">
            <v>3</v>
          </cell>
          <cell r="AB533">
            <v>4350</v>
          </cell>
          <cell r="AC533" t="str">
            <v>大谷川</v>
          </cell>
          <cell r="AD533" t="str">
            <v>ＡＡ</v>
          </cell>
          <cell r="AE533" t="str">
            <v>イ</v>
          </cell>
          <cell r="AF533">
            <v>15</v>
          </cell>
          <cell r="AG533">
            <v>8</v>
          </cell>
          <cell r="AH533">
            <v>1</v>
          </cell>
          <cell r="AK533" t="str">
            <v>大谷川</v>
          </cell>
          <cell r="AL533" t="str">
            <v>中宮祠上水道取水口</v>
          </cell>
          <cell r="AM533">
            <v>1.8</v>
          </cell>
          <cell r="AO533" t="str">
            <v>日光市</v>
          </cell>
          <cell r="AQ533" t="str">
            <v/>
          </cell>
          <cell r="AR533" t="str">
            <v>標準活性汚泥法</v>
          </cell>
          <cell r="AS533" t="str">
            <v>0920601001</v>
          </cell>
          <cell r="AT533" t="str">
            <v/>
          </cell>
          <cell r="AU533" t="str">
            <v>10</v>
          </cell>
          <cell r="AV533" t="str">
            <v>10</v>
          </cell>
          <cell r="AW533">
            <v>0</v>
          </cell>
          <cell r="AX533">
            <v>0</v>
          </cell>
          <cell r="AY533">
            <v>0</v>
          </cell>
          <cell r="AZ533">
            <v>0</v>
          </cell>
          <cell r="BA533">
            <v>0</v>
          </cell>
          <cell r="BD533" t="str">
            <v/>
          </cell>
          <cell r="BE533">
            <v>1</v>
          </cell>
          <cell r="BG533" t="str">
            <v>1100</v>
          </cell>
        </row>
        <row r="534">
          <cell r="B534" t="str">
            <v>G092060106100200</v>
          </cell>
          <cell r="C534" t="str">
            <v>09.栃木県</v>
          </cell>
          <cell r="D534" t="str">
            <v>206</v>
          </cell>
          <cell r="E534" t="str">
            <v>日光市</v>
          </cell>
          <cell r="F534" t="str">
            <v>01</v>
          </cell>
          <cell r="G534" t="str">
            <v>公共 単独</v>
          </cell>
          <cell r="H534" t="str">
            <v>公共下水道</v>
          </cell>
          <cell r="I534" t="str">
            <v>単独</v>
          </cell>
          <cell r="J534" t="str">
            <v>002</v>
          </cell>
          <cell r="K534" t="str">
            <v>湯元水処理センター</v>
          </cell>
          <cell r="M534" t="str">
            <v>1</v>
          </cell>
          <cell r="N534" t="str">
            <v>1</v>
          </cell>
          <cell r="Q534">
            <v>24259</v>
          </cell>
          <cell r="R534" t="str">
            <v>昭和</v>
          </cell>
          <cell r="S534">
            <v>41</v>
          </cell>
          <cell r="T534">
            <v>6</v>
          </cell>
          <cell r="AB534">
            <v>11440</v>
          </cell>
          <cell r="AC534" t="str">
            <v>湯の湖</v>
          </cell>
          <cell r="AD534" t="str">
            <v>Ａ-Ⅲ</v>
          </cell>
          <cell r="AE534" t="str">
            <v>イ</v>
          </cell>
          <cell r="AF534">
            <v>15</v>
          </cell>
          <cell r="AK534" t="str">
            <v>湯の湖</v>
          </cell>
          <cell r="AL534" t="str">
            <v>湯の湖簡易水道用取水</v>
          </cell>
          <cell r="AM534">
            <v>1.7</v>
          </cell>
          <cell r="AO534" t="str">
            <v>日光市</v>
          </cell>
          <cell r="AQ534" t="str">
            <v/>
          </cell>
          <cell r="AR534" t="str">
            <v>オキシディションディッチ法</v>
          </cell>
          <cell r="AS534" t="str">
            <v>0920601002</v>
          </cell>
          <cell r="AT534" t="str">
            <v/>
          </cell>
          <cell r="AU534" t="str">
            <v>10</v>
          </cell>
          <cell r="AV534" t="str">
            <v>10</v>
          </cell>
          <cell r="AW534">
            <v>0</v>
          </cell>
          <cell r="AX534">
            <v>0</v>
          </cell>
          <cell r="AY534">
            <v>0</v>
          </cell>
          <cell r="AZ534">
            <v>0</v>
          </cell>
          <cell r="BA534">
            <v>0</v>
          </cell>
          <cell r="BD534" t="str">
            <v/>
          </cell>
          <cell r="BE534">
            <v>1</v>
          </cell>
          <cell r="BG534" t="str">
            <v>1100</v>
          </cell>
        </row>
        <row r="535">
          <cell r="B535" t="str">
            <v>G092060206100300</v>
          </cell>
          <cell r="C535" t="str">
            <v>09.栃木県</v>
          </cell>
          <cell r="D535" t="str">
            <v>206</v>
          </cell>
          <cell r="E535" t="str">
            <v>日光市</v>
          </cell>
          <cell r="F535" t="str">
            <v>02</v>
          </cell>
          <cell r="G535" t="str">
            <v>特環 単独</v>
          </cell>
          <cell r="H535" t="str">
            <v>特定環境保全公共下水道</v>
          </cell>
          <cell r="I535" t="str">
            <v>単独</v>
          </cell>
          <cell r="J535" t="str">
            <v>003</v>
          </cell>
          <cell r="K535" t="str">
            <v>湯西川水処理センター</v>
          </cell>
          <cell r="M535" t="str">
            <v>1</v>
          </cell>
          <cell r="Q535">
            <v>30011</v>
          </cell>
          <cell r="R535" t="str">
            <v>昭和</v>
          </cell>
          <cell r="S535">
            <v>57</v>
          </cell>
          <cell r="T535">
            <v>3</v>
          </cell>
          <cell r="AB535">
            <v>9415</v>
          </cell>
          <cell r="AC535" t="str">
            <v>男鹿川</v>
          </cell>
          <cell r="AD535" t="str">
            <v>ＡＡ</v>
          </cell>
          <cell r="AE535" t="str">
            <v>イ</v>
          </cell>
          <cell r="AF535">
            <v>14</v>
          </cell>
          <cell r="AK535" t="str">
            <v>湯西川</v>
          </cell>
          <cell r="AL535" t="str">
            <v>鬼怒川浄水場</v>
          </cell>
          <cell r="AN535">
            <v>27</v>
          </cell>
          <cell r="AO535" t="str">
            <v>日光市</v>
          </cell>
          <cell r="AQ535" t="str">
            <v/>
          </cell>
          <cell r="AR535" t="str">
            <v>オキシディションディッチ法</v>
          </cell>
          <cell r="AS535" t="str">
            <v>0920602003</v>
          </cell>
          <cell r="AT535" t="str">
            <v/>
          </cell>
          <cell r="AU535" t="str">
            <v>00</v>
          </cell>
          <cell r="AV535" t="str">
            <v>00</v>
          </cell>
          <cell r="AW535">
            <v>0</v>
          </cell>
          <cell r="AX535">
            <v>0</v>
          </cell>
          <cell r="AY535">
            <v>0</v>
          </cell>
          <cell r="AZ535">
            <v>0</v>
          </cell>
          <cell r="BA535">
            <v>0</v>
          </cell>
          <cell r="BB535" t="str">
            <v>脱水休止</v>
          </cell>
          <cell r="BD535" t="str">
            <v>脱水休止</v>
          </cell>
          <cell r="BE535">
            <v>1</v>
          </cell>
          <cell r="BG535" t="str">
            <v>1000</v>
          </cell>
        </row>
        <row r="536">
          <cell r="B536" t="str">
            <v>G092060206100400</v>
          </cell>
          <cell r="C536" t="str">
            <v>09.栃木県</v>
          </cell>
          <cell r="D536" t="str">
            <v>206</v>
          </cell>
          <cell r="E536" t="str">
            <v>日光市</v>
          </cell>
          <cell r="F536" t="str">
            <v>02</v>
          </cell>
          <cell r="G536" t="str">
            <v>特環 単独</v>
          </cell>
          <cell r="H536" t="str">
            <v>特定環境保全公共下水道</v>
          </cell>
          <cell r="I536" t="str">
            <v>単独</v>
          </cell>
          <cell r="J536" t="str">
            <v>004</v>
          </cell>
          <cell r="K536" t="str">
            <v>川治水処理センター</v>
          </cell>
          <cell r="M536" t="str">
            <v>1</v>
          </cell>
          <cell r="Q536">
            <v>39630</v>
          </cell>
          <cell r="R536" t="str">
            <v>平成</v>
          </cell>
          <cell r="S536">
            <v>20</v>
          </cell>
          <cell r="T536">
            <v>7</v>
          </cell>
          <cell r="AB536">
            <v>9444</v>
          </cell>
          <cell r="AC536" t="str">
            <v>鬼怒川</v>
          </cell>
          <cell r="AD536" t="str">
            <v>ＡＡ</v>
          </cell>
          <cell r="AE536" t="str">
            <v>イ</v>
          </cell>
          <cell r="AF536">
            <v>15</v>
          </cell>
          <cell r="AK536" t="str">
            <v>鬼怒川</v>
          </cell>
          <cell r="AL536" t="str">
            <v>鬼怒川</v>
          </cell>
          <cell r="AN536">
            <v>6</v>
          </cell>
          <cell r="AO536" t="str">
            <v>日光市</v>
          </cell>
          <cell r="AQ536" t="str">
            <v/>
          </cell>
          <cell r="AR536" t="str">
            <v>オキシディションディッチ法</v>
          </cell>
          <cell r="AS536" t="str">
            <v>0920602004</v>
          </cell>
          <cell r="AT536" t="str">
            <v/>
          </cell>
          <cell r="AU536" t="str">
            <v>00</v>
          </cell>
          <cell r="AV536" t="str">
            <v>00</v>
          </cell>
          <cell r="AW536">
            <v>0</v>
          </cell>
          <cell r="AX536">
            <v>0</v>
          </cell>
          <cell r="AY536">
            <v>0</v>
          </cell>
          <cell r="AZ536">
            <v>0</v>
          </cell>
          <cell r="BA536">
            <v>0</v>
          </cell>
          <cell r="BD536" t="str">
            <v/>
          </cell>
          <cell r="BE536">
            <v>1</v>
          </cell>
          <cell r="BG536" t="str">
            <v>1000</v>
          </cell>
        </row>
        <row r="537">
          <cell r="B537" t="str">
            <v>G092080106100100</v>
          </cell>
          <cell r="C537" t="str">
            <v>09.栃木県</v>
          </cell>
          <cell r="D537" t="str">
            <v>208</v>
          </cell>
          <cell r="E537" t="str">
            <v>小山市</v>
          </cell>
          <cell r="F537" t="str">
            <v>01</v>
          </cell>
          <cell r="G537" t="str">
            <v>公共 単独</v>
          </cell>
          <cell r="H537" t="str">
            <v>公共下水道</v>
          </cell>
          <cell r="I537" t="str">
            <v>単独</v>
          </cell>
          <cell r="J537" t="str">
            <v>001</v>
          </cell>
          <cell r="K537" t="str">
            <v>小山水処理センター</v>
          </cell>
          <cell r="M537" t="str">
            <v>1</v>
          </cell>
          <cell r="N537" t="str">
            <v>1</v>
          </cell>
          <cell r="Q537">
            <v>27912</v>
          </cell>
          <cell r="R537" t="str">
            <v>昭和</v>
          </cell>
          <cell r="S537">
            <v>51</v>
          </cell>
          <cell r="T537">
            <v>6</v>
          </cell>
          <cell r="AB537">
            <v>81000</v>
          </cell>
          <cell r="AC537" t="str">
            <v>思川下流</v>
          </cell>
          <cell r="AD537" t="str">
            <v>Ｂ</v>
          </cell>
          <cell r="AE537" t="str">
            <v>イ</v>
          </cell>
          <cell r="AF537">
            <v>15</v>
          </cell>
          <cell r="AK537" t="str">
            <v>思川</v>
          </cell>
          <cell r="AL537" t="str">
            <v>喜沢取水塔</v>
          </cell>
          <cell r="AM537">
            <v>3.5</v>
          </cell>
          <cell r="AO537" t="str">
            <v>小山市</v>
          </cell>
          <cell r="AQ537" t="str">
            <v/>
          </cell>
          <cell r="AR537" t="str">
            <v>標準活性汚泥法</v>
          </cell>
          <cell r="AS537" t="str">
            <v>0920801001</v>
          </cell>
          <cell r="AT537" t="str">
            <v/>
          </cell>
          <cell r="AU537" t="str">
            <v>10</v>
          </cell>
          <cell r="AV537" t="str">
            <v>10</v>
          </cell>
          <cell r="AW537">
            <v>0</v>
          </cell>
          <cell r="AX537">
            <v>0</v>
          </cell>
          <cell r="AY537">
            <v>0</v>
          </cell>
          <cell r="AZ537">
            <v>0</v>
          </cell>
          <cell r="BA537">
            <v>0</v>
          </cell>
          <cell r="BD537" t="str">
            <v/>
          </cell>
          <cell r="BE537">
            <v>1</v>
          </cell>
          <cell r="BG537" t="str">
            <v>1100</v>
          </cell>
        </row>
        <row r="538">
          <cell r="B538" t="str">
            <v>G092080106100200</v>
          </cell>
          <cell r="C538" t="str">
            <v>09.栃木県</v>
          </cell>
          <cell r="D538" t="str">
            <v>208</v>
          </cell>
          <cell r="E538" t="str">
            <v>小山市</v>
          </cell>
          <cell r="F538" t="str">
            <v>01</v>
          </cell>
          <cell r="G538" t="str">
            <v>公共 単独</v>
          </cell>
          <cell r="H538" t="str">
            <v>公共下水道</v>
          </cell>
          <cell r="I538" t="str">
            <v>単独</v>
          </cell>
          <cell r="J538" t="str">
            <v>002</v>
          </cell>
          <cell r="K538" t="str">
            <v>扶桑水処理センター</v>
          </cell>
          <cell r="M538" t="str">
            <v>1</v>
          </cell>
          <cell r="N538" t="str">
            <v>1</v>
          </cell>
          <cell r="Q538">
            <v>30956</v>
          </cell>
          <cell r="R538" t="str">
            <v>昭和</v>
          </cell>
          <cell r="S538">
            <v>59</v>
          </cell>
          <cell r="T538">
            <v>10</v>
          </cell>
          <cell r="AB538">
            <v>8800</v>
          </cell>
          <cell r="AC538" t="str">
            <v>姿川</v>
          </cell>
          <cell r="AD538" t="str">
            <v>Ｂ</v>
          </cell>
          <cell r="AE538" t="str">
            <v>イ</v>
          </cell>
          <cell r="AF538">
            <v>15</v>
          </cell>
          <cell r="AK538" t="str">
            <v>姿川</v>
          </cell>
          <cell r="AL538" t="str">
            <v>東島田取水塔</v>
          </cell>
          <cell r="AN538">
            <v>2</v>
          </cell>
          <cell r="AO538" t="str">
            <v>小山市</v>
          </cell>
          <cell r="AQ538" t="str">
            <v/>
          </cell>
          <cell r="AR538" t="str">
            <v>標準活性汚泥法</v>
          </cell>
          <cell r="AS538" t="str">
            <v>0920801002</v>
          </cell>
          <cell r="AT538" t="str">
            <v/>
          </cell>
          <cell r="AU538" t="str">
            <v>10</v>
          </cell>
          <cell r="AV538" t="str">
            <v>10</v>
          </cell>
          <cell r="AW538">
            <v>0</v>
          </cell>
          <cell r="AX538">
            <v>0</v>
          </cell>
          <cell r="AY538">
            <v>0</v>
          </cell>
          <cell r="AZ538">
            <v>0</v>
          </cell>
          <cell r="BA538">
            <v>0</v>
          </cell>
          <cell r="BD538" t="str">
            <v/>
          </cell>
          <cell r="BE538">
            <v>1</v>
          </cell>
          <cell r="BG538" t="str">
            <v>1100</v>
          </cell>
        </row>
        <row r="539">
          <cell r="B539" t="str">
            <v>G092090106100100</v>
          </cell>
          <cell r="C539" t="str">
            <v>09.栃木県</v>
          </cell>
          <cell r="D539" t="str">
            <v>209</v>
          </cell>
          <cell r="E539" t="str">
            <v>真岡市</v>
          </cell>
          <cell r="F539" t="str">
            <v>01</v>
          </cell>
          <cell r="G539" t="str">
            <v>公共 単独</v>
          </cell>
          <cell r="H539" t="str">
            <v>公共下水道</v>
          </cell>
          <cell r="I539" t="str">
            <v>単独</v>
          </cell>
          <cell r="J539" t="str">
            <v>001</v>
          </cell>
          <cell r="K539" t="str">
            <v>真岡市水処理センター</v>
          </cell>
          <cell r="M539" t="str">
            <v>1</v>
          </cell>
          <cell r="N539" t="str">
            <v>1</v>
          </cell>
          <cell r="Q539">
            <v>30376</v>
          </cell>
          <cell r="R539" t="str">
            <v>昭和</v>
          </cell>
          <cell r="S539">
            <v>58</v>
          </cell>
          <cell r="T539">
            <v>3</v>
          </cell>
          <cell r="AB539">
            <v>44625</v>
          </cell>
          <cell r="AC539" t="str">
            <v>五行川</v>
          </cell>
          <cell r="AD539" t="str">
            <v>Ａ</v>
          </cell>
          <cell r="AE539" t="str">
            <v>イ</v>
          </cell>
          <cell r="AF539">
            <v>15</v>
          </cell>
          <cell r="AK539" t="str">
            <v>五行川</v>
          </cell>
          <cell r="AL539" t="str">
            <v>茨城県県南広域水道取水口</v>
          </cell>
          <cell r="AN539">
            <v>33</v>
          </cell>
          <cell r="AO539" t="str">
            <v>茨城県県南地域</v>
          </cell>
          <cell r="AQ539" t="str">
            <v/>
          </cell>
          <cell r="AR539" t="str">
            <v>標準活性汚泥法</v>
          </cell>
          <cell r="AS539" t="str">
            <v>0920901001</v>
          </cell>
          <cell r="AT539" t="str">
            <v/>
          </cell>
          <cell r="AU539" t="str">
            <v>10</v>
          </cell>
          <cell r="AV539" t="str">
            <v>10</v>
          </cell>
          <cell r="AW539">
            <v>0</v>
          </cell>
          <cell r="AX539">
            <v>0</v>
          </cell>
          <cell r="AY539">
            <v>0</v>
          </cell>
          <cell r="AZ539">
            <v>0</v>
          </cell>
          <cell r="BA539">
            <v>0</v>
          </cell>
          <cell r="BD539" t="str">
            <v/>
          </cell>
          <cell r="BE539">
            <v>1</v>
          </cell>
          <cell r="BG539" t="str">
            <v>1100</v>
          </cell>
        </row>
        <row r="540">
          <cell r="B540" t="str">
            <v>G092090106100200</v>
          </cell>
          <cell r="C540" t="str">
            <v>09.栃木県</v>
          </cell>
          <cell r="D540" t="str">
            <v>209</v>
          </cell>
          <cell r="E540" t="str">
            <v>真岡市</v>
          </cell>
          <cell r="F540" t="str">
            <v>01</v>
          </cell>
          <cell r="G540" t="str">
            <v>公共 単独</v>
          </cell>
          <cell r="H540" t="str">
            <v>公共下水道</v>
          </cell>
          <cell r="I540" t="str">
            <v>単独</v>
          </cell>
          <cell r="J540" t="str">
            <v>002</v>
          </cell>
          <cell r="K540" t="str">
            <v>真岡市二宮水処理センター</v>
          </cell>
          <cell r="M540" t="str">
            <v>1</v>
          </cell>
          <cell r="N540" t="str">
            <v>1</v>
          </cell>
          <cell r="Q540">
            <v>34759</v>
          </cell>
          <cell r="R540" t="str">
            <v>平成</v>
          </cell>
          <cell r="S540">
            <v>7</v>
          </cell>
          <cell r="T540">
            <v>3</v>
          </cell>
          <cell r="AB540">
            <v>9840</v>
          </cell>
          <cell r="AC540" t="str">
            <v>小貝川</v>
          </cell>
          <cell r="AD540" t="str">
            <v>Ａ</v>
          </cell>
          <cell r="AE540" t="str">
            <v>イ</v>
          </cell>
          <cell r="AF540">
            <v>15</v>
          </cell>
          <cell r="AI540" t="str">
            <v>西川</v>
          </cell>
          <cell r="AK540" t="str">
            <v>大谷川</v>
          </cell>
          <cell r="AL540" t="str">
            <v>第３水源</v>
          </cell>
          <cell r="AM540">
            <v>2</v>
          </cell>
          <cell r="AO540" t="str">
            <v>真岡市</v>
          </cell>
          <cell r="AQ540" t="str">
            <v/>
          </cell>
          <cell r="AR540" t="str">
            <v>オキシディションディッチ法</v>
          </cell>
          <cell r="AS540" t="str">
            <v>0920901002</v>
          </cell>
          <cell r="AT540" t="str">
            <v/>
          </cell>
          <cell r="AU540" t="str">
            <v>10</v>
          </cell>
          <cell r="AV540" t="str">
            <v>10</v>
          </cell>
          <cell r="AW540">
            <v>0</v>
          </cell>
          <cell r="AX540">
            <v>0</v>
          </cell>
          <cell r="AY540">
            <v>0</v>
          </cell>
          <cell r="AZ540">
            <v>0</v>
          </cell>
          <cell r="BA540">
            <v>0</v>
          </cell>
          <cell r="BD540" t="str">
            <v/>
          </cell>
          <cell r="BE540">
            <v>1</v>
          </cell>
          <cell r="BG540" t="str">
            <v>1100</v>
          </cell>
        </row>
        <row r="541">
          <cell r="B541" t="str">
            <v>G092100206100100</v>
          </cell>
          <cell r="C541" t="str">
            <v>09.栃木県</v>
          </cell>
          <cell r="D541" t="str">
            <v>210</v>
          </cell>
          <cell r="E541" t="str">
            <v>大田原市</v>
          </cell>
          <cell r="F541" t="str">
            <v>02</v>
          </cell>
          <cell r="G541" t="str">
            <v>特環 単独</v>
          </cell>
          <cell r="H541" t="str">
            <v>特定環境保全公共下水道</v>
          </cell>
          <cell r="I541" t="str">
            <v>単独</v>
          </cell>
          <cell r="J541" t="str">
            <v>001</v>
          </cell>
          <cell r="K541" t="str">
            <v>黒羽水処理センター</v>
          </cell>
          <cell r="M541" t="str">
            <v>1</v>
          </cell>
          <cell r="N541" t="str">
            <v>1</v>
          </cell>
          <cell r="Q541">
            <v>37316</v>
          </cell>
          <cell r="R541" t="str">
            <v>平成</v>
          </cell>
          <cell r="S541">
            <v>14</v>
          </cell>
          <cell r="T541">
            <v>3</v>
          </cell>
          <cell r="U541" t="str">
            <v>名称変更</v>
          </cell>
          <cell r="V541">
            <v>38626</v>
          </cell>
          <cell r="W541" t="str">
            <v>平成</v>
          </cell>
          <cell r="X541">
            <v>17</v>
          </cell>
          <cell r="Y541">
            <v>10</v>
          </cell>
          <cell r="Z541" t="str">
            <v>黒羽町水処理センター</v>
          </cell>
          <cell r="AB541">
            <v>11672</v>
          </cell>
          <cell r="AC541" t="str">
            <v>那珂川（２）</v>
          </cell>
          <cell r="AD541" t="str">
            <v>Ａ</v>
          </cell>
          <cell r="AE541" t="str">
            <v>イ</v>
          </cell>
          <cell r="AK541" t="str">
            <v>那珂川</v>
          </cell>
          <cell r="AL541" t="str">
            <v>松山下取水口</v>
          </cell>
          <cell r="AN541">
            <v>65</v>
          </cell>
          <cell r="AO541" t="str">
            <v>東茨城郡城里町</v>
          </cell>
          <cell r="AQ541" t="str">
            <v/>
          </cell>
          <cell r="AR541" t="str">
            <v>オキシディションディッチ法</v>
          </cell>
          <cell r="AS541" t="str">
            <v>0921002001</v>
          </cell>
          <cell r="AT541" t="str">
            <v/>
          </cell>
          <cell r="AU541" t="str">
            <v>10</v>
          </cell>
          <cell r="AV541" t="str">
            <v>10</v>
          </cell>
          <cell r="AW541">
            <v>0</v>
          </cell>
          <cell r="AX541">
            <v>0</v>
          </cell>
          <cell r="AY541">
            <v>0</v>
          </cell>
          <cell r="AZ541">
            <v>0</v>
          </cell>
          <cell r="BA541">
            <v>0</v>
          </cell>
          <cell r="BD541" t="str">
            <v/>
          </cell>
          <cell r="BE541">
            <v>1</v>
          </cell>
          <cell r="BG541" t="str">
            <v>1100</v>
          </cell>
        </row>
        <row r="542">
          <cell r="B542" t="str">
            <v>G092110106100100</v>
          </cell>
          <cell r="C542" t="str">
            <v>09.栃木県</v>
          </cell>
          <cell r="D542" t="str">
            <v>211</v>
          </cell>
          <cell r="E542" t="str">
            <v>矢板市</v>
          </cell>
          <cell r="F542" t="str">
            <v>01</v>
          </cell>
          <cell r="G542" t="str">
            <v>公共 単独</v>
          </cell>
          <cell r="H542" t="str">
            <v>公共下水道</v>
          </cell>
          <cell r="I542" t="str">
            <v>単独</v>
          </cell>
          <cell r="J542" t="str">
            <v>001</v>
          </cell>
          <cell r="K542" t="str">
            <v>矢板市水処理センター</v>
          </cell>
          <cell r="M542" t="str">
            <v>1</v>
          </cell>
          <cell r="N542" t="str">
            <v>1</v>
          </cell>
          <cell r="Q542">
            <v>33298</v>
          </cell>
          <cell r="R542" t="str">
            <v>平成</v>
          </cell>
          <cell r="S542">
            <v>3</v>
          </cell>
          <cell r="T542">
            <v>3</v>
          </cell>
          <cell r="AB542">
            <v>51000</v>
          </cell>
          <cell r="AC542" t="str">
            <v>那珂川(2)</v>
          </cell>
          <cell r="AD542" t="str">
            <v>Ａ</v>
          </cell>
          <cell r="AE542" t="str">
            <v>イ</v>
          </cell>
          <cell r="AF542">
            <v>15</v>
          </cell>
          <cell r="AK542" t="str">
            <v>内川</v>
          </cell>
          <cell r="AL542" t="str">
            <v>矢板市宮川</v>
          </cell>
          <cell r="AM542">
            <v>10</v>
          </cell>
          <cell r="AO542" t="str">
            <v>矢板市</v>
          </cell>
          <cell r="AQ542" t="str">
            <v/>
          </cell>
          <cell r="AR542" t="str">
            <v>標準活性汚泥法</v>
          </cell>
          <cell r="AS542" t="str">
            <v>0921101001</v>
          </cell>
          <cell r="AT542" t="str">
            <v/>
          </cell>
          <cell r="AU542" t="str">
            <v>10</v>
          </cell>
          <cell r="AV542" t="str">
            <v>10</v>
          </cell>
          <cell r="AW542">
            <v>0</v>
          </cell>
          <cell r="AX542">
            <v>0</v>
          </cell>
          <cell r="AY542">
            <v>0</v>
          </cell>
          <cell r="AZ542">
            <v>0</v>
          </cell>
          <cell r="BA542">
            <v>0</v>
          </cell>
          <cell r="BD542" t="str">
            <v/>
          </cell>
          <cell r="BE542">
            <v>1</v>
          </cell>
          <cell r="BG542" t="str">
            <v>1100</v>
          </cell>
        </row>
        <row r="543">
          <cell r="B543" t="str">
            <v>G092130106100100</v>
          </cell>
          <cell r="C543" t="str">
            <v>09.栃木県</v>
          </cell>
          <cell r="D543" t="str">
            <v>213</v>
          </cell>
          <cell r="E543" t="str">
            <v>那須塩原市</v>
          </cell>
          <cell r="F543" t="str">
            <v>01</v>
          </cell>
          <cell r="G543" t="str">
            <v>公共 単独</v>
          </cell>
          <cell r="H543" t="str">
            <v>公共下水道</v>
          </cell>
          <cell r="I543" t="str">
            <v>単独</v>
          </cell>
          <cell r="J543" t="str">
            <v>001</v>
          </cell>
          <cell r="K543" t="str">
            <v>黒磯水処理センター</v>
          </cell>
          <cell r="M543" t="str">
            <v>1</v>
          </cell>
          <cell r="N543" t="str">
            <v>1</v>
          </cell>
          <cell r="Q543">
            <v>29312</v>
          </cell>
          <cell r="R543" t="str">
            <v>昭和</v>
          </cell>
          <cell r="S543">
            <v>55</v>
          </cell>
          <cell r="T543">
            <v>4</v>
          </cell>
          <cell r="AB543">
            <v>60550</v>
          </cell>
          <cell r="AC543" t="str">
            <v>那珂川</v>
          </cell>
          <cell r="AD543" t="str">
            <v>Ａ</v>
          </cell>
          <cell r="AE543" t="str">
            <v>イ</v>
          </cell>
          <cell r="AF543">
            <v>15</v>
          </cell>
          <cell r="AK543" t="str">
            <v>那珂川</v>
          </cell>
          <cell r="AL543" t="str">
            <v>北那須下水道取水口</v>
          </cell>
          <cell r="AM543">
            <v>17</v>
          </cell>
          <cell r="AO543" t="str">
            <v>那須塩原市・大田原市</v>
          </cell>
          <cell r="AQ543" t="str">
            <v/>
          </cell>
          <cell r="AR543" t="str">
            <v>標準活性汚泥法</v>
          </cell>
          <cell r="AS543" t="str">
            <v>0921301001</v>
          </cell>
          <cell r="AT543" t="str">
            <v/>
          </cell>
          <cell r="AU543" t="str">
            <v>10</v>
          </cell>
          <cell r="AV543" t="str">
            <v>10</v>
          </cell>
          <cell r="AW543">
            <v>0</v>
          </cell>
          <cell r="AX543">
            <v>0</v>
          </cell>
          <cell r="AY543">
            <v>0</v>
          </cell>
          <cell r="AZ543">
            <v>0</v>
          </cell>
          <cell r="BA543">
            <v>0</v>
          </cell>
          <cell r="BD543" t="str">
            <v/>
          </cell>
          <cell r="BE543">
            <v>1</v>
          </cell>
          <cell r="BG543" t="str">
            <v>1100</v>
          </cell>
        </row>
        <row r="544">
          <cell r="B544" t="str">
            <v>G092130106100200</v>
          </cell>
          <cell r="C544" t="str">
            <v>09.栃木県</v>
          </cell>
          <cell r="D544" t="str">
            <v>213</v>
          </cell>
          <cell r="E544" t="str">
            <v>那須塩原市</v>
          </cell>
          <cell r="F544" t="str">
            <v>01</v>
          </cell>
          <cell r="G544" t="str">
            <v>公共 単独</v>
          </cell>
          <cell r="H544" t="str">
            <v>公共下水道</v>
          </cell>
          <cell r="I544" t="str">
            <v>単独</v>
          </cell>
          <cell r="J544" t="str">
            <v>002</v>
          </cell>
          <cell r="K544" t="str">
            <v>塩原水処理センター</v>
          </cell>
          <cell r="M544" t="str">
            <v>1</v>
          </cell>
          <cell r="N544" t="str">
            <v>1</v>
          </cell>
          <cell r="Q544">
            <v>31472</v>
          </cell>
          <cell r="R544" t="str">
            <v>昭和</v>
          </cell>
          <cell r="S544">
            <v>61</v>
          </cell>
          <cell r="T544">
            <v>3</v>
          </cell>
          <cell r="AB544">
            <v>29021</v>
          </cell>
          <cell r="AC544" t="str">
            <v>箒川</v>
          </cell>
          <cell r="AD544" t="str">
            <v>Ａ</v>
          </cell>
          <cell r="AE544" t="str">
            <v>イ</v>
          </cell>
          <cell r="AF544">
            <v>15</v>
          </cell>
          <cell r="AK544" t="str">
            <v>箒川</v>
          </cell>
          <cell r="AL544" t="str">
            <v>大貫取水口</v>
          </cell>
          <cell r="AN544">
            <v>7</v>
          </cell>
          <cell r="AO544" t="str">
            <v>那須塩原市</v>
          </cell>
          <cell r="AQ544" t="str">
            <v/>
          </cell>
          <cell r="AR544" t="str">
            <v>オキシディションディッチ法</v>
          </cell>
          <cell r="AS544" t="str">
            <v>0921301002</v>
          </cell>
          <cell r="AT544" t="str">
            <v/>
          </cell>
          <cell r="AU544" t="str">
            <v>10</v>
          </cell>
          <cell r="AV544" t="str">
            <v>10</v>
          </cell>
          <cell r="AW544">
            <v>0</v>
          </cell>
          <cell r="AX544">
            <v>0</v>
          </cell>
          <cell r="AY544">
            <v>0</v>
          </cell>
          <cell r="AZ544">
            <v>0</v>
          </cell>
          <cell r="BA544">
            <v>0</v>
          </cell>
          <cell r="BD544" t="str">
            <v/>
          </cell>
          <cell r="BE544">
            <v>1</v>
          </cell>
          <cell r="BG544" t="str">
            <v>1100</v>
          </cell>
        </row>
        <row r="545">
          <cell r="B545" t="str">
            <v>G092140106100100</v>
          </cell>
          <cell r="C545" t="str">
            <v>09.栃木県</v>
          </cell>
          <cell r="D545" t="str">
            <v>214</v>
          </cell>
          <cell r="E545" t="str">
            <v>さくら市</v>
          </cell>
          <cell r="F545" t="str">
            <v>01</v>
          </cell>
          <cell r="G545" t="str">
            <v>公共 単独</v>
          </cell>
          <cell r="H545" t="str">
            <v>公共下水道</v>
          </cell>
          <cell r="I545" t="str">
            <v>単独</v>
          </cell>
          <cell r="J545" t="str">
            <v>001</v>
          </cell>
          <cell r="K545" t="str">
            <v>氏家水処理センター</v>
          </cell>
          <cell r="M545" t="str">
            <v>1</v>
          </cell>
          <cell r="N545" t="str">
            <v>1</v>
          </cell>
          <cell r="Q545">
            <v>34029</v>
          </cell>
          <cell r="R545" t="str">
            <v>平成</v>
          </cell>
          <cell r="S545">
            <v>5</v>
          </cell>
          <cell r="T545">
            <v>3</v>
          </cell>
          <cell r="AB545">
            <v>39993</v>
          </cell>
          <cell r="AC545" t="str">
            <v>鬼怒川</v>
          </cell>
          <cell r="AD545" t="str">
            <v>Ａ</v>
          </cell>
          <cell r="AE545" t="str">
            <v>イ</v>
          </cell>
          <cell r="AF545">
            <v>15</v>
          </cell>
          <cell r="AK545" t="str">
            <v>鬼怒川</v>
          </cell>
          <cell r="AL545" t="str">
            <v>岡本</v>
          </cell>
          <cell r="AN545">
            <v>8</v>
          </cell>
          <cell r="AO545" t="str">
            <v>宇都宮市</v>
          </cell>
          <cell r="AQ545" t="str">
            <v/>
          </cell>
          <cell r="AR545" t="str">
            <v>オキシディションディッチ法</v>
          </cell>
          <cell r="AS545" t="str">
            <v>0921401001</v>
          </cell>
          <cell r="AT545" t="str">
            <v/>
          </cell>
          <cell r="AU545" t="str">
            <v>10</v>
          </cell>
          <cell r="AV545" t="str">
            <v>10</v>
          </cell>
          <cell r="AW545">
            <v>0</v>
          </cell>
          <cell r="AX545">
            <v>0</v>
          </cell>
          <cell r="AY545">
            <v>0</v>
          </cell>
          <cell r="AZ545">
            <v>0</v>
          </cell>
          <cell r="BA545">
            <v>0</v>
          </cell>
          <cell r="BD545" t="str">
            <v/>
          </cell>
          <cell r="BE545">
            <v>1</v>
          </cell>
          <cell r="BG545" t="str">
            <v>1100</v>
          </cell>
        </row>
        <row r="546">
          <cell r="B546" t="str">
            <v>G092140106100200</v>
          </cell>
          <cell r="C546" t="str">
            <v>09.栃木県</v>
          </cell>
          <cell r="D546" t="str">
            <v>214</v>
          </cell>
          <cell r="E546" t="str">
            <v>さくら市</v>
          </cell>
          <cell r="F546" t="str">
            <v>01</v>
          </cell>
          <cell r="G546" t="str">
            <v>公共 単独</v>
          </cell>
          <cell r="H546" t="str">
            <v>公共下水道</v>
          </cell>
          <cell r="I546" t="str">
            <v>単独</v>
          </cell>
          <cell r="J546" t="str">
            <v>002</v>
          </cell>
          <cell r="K546" t="str">
            <v>喜連川水処理センター</v>
          </cell>
          <cell r="M546" t="str">
            <v>1</v>
          </cell>
          <cell r="N546" t="str">
            <v>1</v>
          </cell>
          <cell r="Q546">
            <v>37316</v>
          </cell>
          <cell r="R546" t="str">
            <v>平成</v>
          </cell>
          <cell r="S546">
            <v>14</v>
          </cell>
          <cell r="T546">
            <v>3</v>
          </cell>
          <cell r="AB546">
            <v>21898</v>
          </cell>
          <cell r="AC546" t="str">
            <v>荒川</v>
          </cell>
          <cell r="AD546" t="str">
            <v>Ａ</v>
          </cell>
          <cell r="AE546" t="str">
            <v>イ</v>
          </cell>
          <cell r="AF546">
            <v>15</v>
          </cell>
          <cell r="AI546" t="str">
            <v>田中排水路</v>
          </cell>
          <cell r="AK546" t="str">
            <v>荒川</v>
          </cell>
          <cell r="AL546" t="str">
            <v>河井</v>
          </cell>
          <cell r="AO546" t="str">
            <v>茂木町</v>
          </cell>
          <cell r="AQ546" t="str">
            <v/>
          </cell>
          <cell r="AR546" t="str">
            <v>オキシディションディッチ法</v>
          </cell>
          <cell r="AS546" t="str">
            <v>0921401002</v>
          </cell>
          <cell r="AT546" t="str">
            <v/>
          </cell>
          <cell r="AU546" t="str">
            <v>10</v>
          </cell>
          <cell r="AV546" t="str">
            <v>10</v>
          </cell>
          <cell r="AW546">
            <v>0</v>
          </cell>
          <cell r="AX546">
            <v>0</v>
          </cell>
          <cell r="AY546">
            <v>0</v>
          </cell>
          <cell r="AZ546">
            <v>0</v>
          </cell>
          <cell r="BA546">
            <v>0</v>
          </cell>
          <cell r="BD546" t="str">
            <v/>
          </cell>
          <cell r="BE546">
            <v>1</v>
          </cell>
          <cell r="BG546" t="str">
            <v>1100</v>
          </cell>
        </row>
        <row r="547">
          <cell r="B547" t="str">
            <v>G092150106100100</v>
          </cell>
          <cell r="C547" t="str">
            <v>09.栃木県</v>
          </cell>
          <cell r="D547" t="str">
            <v>215</v>
          </cell>
          <cell r="E547" t="str">
            <v>那須烏山市</v>
          </cell>
          <cell r="F547" t="str">
            <v>01</v>
          </cell>
          <cell r="G547" t="str">
            <v>公共 単独</v>
          </cell>
          <cell r="H547" t="str">
            <v>公共下水道</v>
          </cell>
          <cell r="I547" t="str">
            <v>単独</v>
          </cell>
          <cell r="J547" t="str">
            <v>001</v>
          </cell>
          <cell r="K547" t="str">
            <v>烏山水処理センター</v>
          </cell>
          <cell r="M547" t="str">
            <v>1</v>
          </cell>
          <cell r="N547" t="str">
            <v>1</v>
          </cell>
          <cell r="Q547">
            <v>37711</v>
          </cell>
          <cell r="R547" t="str">
            <v>平成</v>
          </cell>
          <cell r="S547">
            <v>15</v>
          </cell>
          <cell r="T547">
            <v>3</v>
          </cell>
          <cell r="AB547">
            <v>40900</v>
          </cell>
          <cell r="AC547" t="str">
            <v>江川</v>
          </cell>
          <cell r="AD547" t="str">
            <v>Ａ</v>
          </cell>
          <cell r="AE547" t="str">
            <v>イ</v>
          </cell>
          <cell r="AF547">
            <v>15</v>
          </cell>
          <cell r="AK547" t="str">
            <v>江川</v>
          </cell>
          <cell r="AL547" t="str">
            <v>境東簡易水道（伏流水）</v>
          </cell>
          <cell r="AN547">
            <v>3</v>
          </cell>
          <cell r="AO547" t="str">
            <v>那須烏山市</v>
          </cell>
          <cell r="AQ547" t="str">
            <v/>
          </cell>
          <cell r="AR547" t="str">
            <v>オキシディションディッチ法</v>
          </cell>
          <cell r="AS547" t="str">
            <v>0921501001</v>
          </cell>
          <cell r="AT547" t="str">
            <v/>
          </cell>
          <cell r="AU547" t="str">
            <v>10</v>
          </cell>
          <cell r="AV547" t="str">
            <v>10</v>
          </cell>
          <cell r="AW547">
            <v>0</v>
          </cell>
          <cell r="AX547">
            <v>0</v>
          </cell>
          <cell r="AY547">
            <v>0</v>
          </cell>
          <cell r="AZ547">
            <v>0</v>
          </cell>
          <cell r="BA547">
            <v>0</v>
          </cell>
          <cell r="BD547" t="str">
            <v/>
          </cell>
          <cell r="BE547">
            <v>1</v>
          </cell>
          <cell r="BG547" t="str">
            <v>1100</v>
          </cell>
        </row>
        <row r="548">
          <cell r="B548" t="str">
            <v>G092150206100200</v>
          </cell>
          <cell r="C548" t="str">
            <v>09.栃木県</v>
          </cell>
          <cell r="D548" t="str">
            <v>215</v>
          </cell>
          <cell r="E548" t="str">
            <v>那須烏山市</v>
          </cell>
          <cell r="F548" t="str">
            <v>02</v>
          </cell>
          <cell r="G548" t="str">
            <v>特環 単独</v>
          </cell>
          <cell r="H548" t="str">
            <v>特定環境保全公共下水道</v>
          </cell>
          <cell r="I548" t="str">
            <v>単独</v>
          </cell>
          <cell r="J548" t="str">
            <v>002</v>
          </cell>
          <cell r="K548" t="str">
            <v>南那須水処理センター</v>
          </cell>
          <cell r="M548" t="str">
            <v>1</v>
          </cell>
          <cell r="N548" t="str">
            <v>1</v>
          </cell>
          <cell r="Q548">
            <v>35885</v>
          </cell>
          <cell r="R548" t="str">
            <v>平成</v>
          </cell>
          <cell r="S548">
            <v>10</v>
          </cell>
          <cell r="T548">
            <v>3</v>
          </cell>
          <cell r="AB548">
            <v>11300</v>
          </cell>
          <cell r="AC548" t="str">
            <v>荒川</v>
          </cell>
          <cell r="AD548" t="str">
            <v>Ａ</v>
          </cell>
          <cell r="AE548" t="str">
            <v>イ</v>
          </cell>
          <cell r="AF548">
            <v>15</v>
          </cell>
          <cell r="AK548" t="str">
            <v>荒川</v>
          </cell>
          <cell r="AL548" t="str">
            <v>茂木町浄水場（伏流水）</v>
          </cell>
          <cell r="AN548">
            <v>41.3</v>
          </cell>
          <cell r="AO548" t="str">
            <v>茂木町</v>
          </cell>
          <cell r="AQ548" t="str">
            <v/>
          </cell>
          <cell r="AR548" t="str">
            <v>オキシディションディッチ法</v>
          </cell>
          <cell r="AS548" t="str">
            <v>0921502002</v>
          </cell>
          <cell r="AT548" t="str">
            <v/>
          </cell>
          <cell r="AU548" t="str">
            <v>10</v>
          </cell>
          <cell r="AV548" t="str">
            <v>10</v>
          </cell>
          <cell r="AW548">
            <v>0</v>
          </cell>
          <cell r="AX548">
            <v>0</v>
          </cell>
          <cell r="AY548">
            <v>0</v>
          </cell>
          <cell r="AZ548">
            <v>0</v>
          </cell>
          <cell r="BA548">
            <v>0</v>
          </cell>
          <cell r="BD548" t="str">
            <v/>
          </cell>
          <cell r="BE548">
            <v>1</v>
          </cell>
          <cell r="BG548" t="str">
            <v>1100</v>
          </cell>
        </row>
        <row r="549">
          <cell r="B549" t="str">
            <v>G093420106100100</v>
          </cell>
          <cell r="C549" t="str">
            <v>09.栃木県</v>
          </cell>
          <cell r="D549" t="str">
            <v>342</v>
          </cell>
          <cell r="E549" t="str">
            <v>益子町</v>
          </cell>
          <cell r="F549" t="str">
            <v>01</v>
          </cell>
          <cell r="G549" t="str">
            <v>公共 単独</v>
          </cell>
          <cell r="H549" t="str">
            <v>公共下水道</v>
          </cell>
          <cell r="I549" t="str">
            <v>単独</v>
          </cell>
          <cell r="J549" t="str">
            <v>001</v>
          </cell>
          <cell r="K549" t="str">
            <v>益子浄化センター</v>
          </cell>
          <cell r="M549" t="str">
            <v>1</v>
          </cell>
          <cell r="N549" t="str">
            <v>1</v>
          </cell>
          <cell r="Q549">
            <v>32933</v>
          </cell>
          <cell r="R549" t="str">
            <v>平成</v>
          </cell>
          <cell r="S549">
            <v>2</v>
          </cell>
          <cell r="T549">
            <v>3</v>
          </cell>
          <cell r="AB549">
            <v>17808</v>
          </cell>
          <cell r="AC549" t="str">
            <v>小貝川</v>
          </cell>
          <cell r="AD549" t="str">
            <v>Ａ</v>
          </cell>
          <cell r="AE549" t="str">
            <v>イ</v>
          </cell>
          <cell r="AF549">
            <v>15</v>
          </cell>
          <cell r="AK549" t="str">
            <v>小貝川</v>
          </cell>
          <cell r="AL549" t="str">
            <v>木下取水場</v>
          </cell>
          <cell r="AN549">
            <v>95</v>
          </cell>
          <cell r="AO549" t="str">
            <v>成田市、富里市、八街市、酒々井町、佐倉市、四街道市、白井市、印西市、長門川水道企業団</v>
          </cell>
          <cell r="AQ549" t="str">
            <v/>
          </cell>
          <cell r="AR549" t="str">
            <v>オキシディションディッチ法</v>
          </cell>
          <cell r="AS549" t="str">
            <v>0934201001</v>
          </cell>
          <cell r="AT549" t="str">
            <v/>
          </cell>
          <cell r="AU549" t="str">
            <v>10</v>
          </cell>
          <cell r="AV549" t="str">
            <v>10</v>
          </cell>
          <cell r="AW549">
            <v>0</v>
          </cell>
          <cell r="AX549">
            <v>0</v>
          </cell>
          <cell r="AY549">
            <v>0</v>
          </cell>
          <cell r="AZ549">
            <v>0</v>
          </cell>
          <cell r="BA549">
            <v>0</v>
          </cell>
          <cell r="BD549" t="str">
            <v/>
          </cell>
          <cell r="BE549">
            <v>1</v>
          </cell>
          <cell r="BG549" t="str">
            <v>1100</v>
          </cell>
        </row>
        <row r="550">
          <cell r="B550" t="str">
            <v>G093430106100100</v>
          </cell>
          <cell r="C550" t="str">
            <v>09.栃木県</v>
          </cell>
          <cell r="D550" t="str">
            <v>343</v>
          </cell>
          <cell r="E550" t="str">
            <v>茂木町</v>
          </cell>
          <cell r="F550" t="str">
            <v>01</v>
          </cell>
          <cell r="G550" t="str">
            <v>公共 単独</v>
          </cell>
          <cell r="H550" t="str">
            <v>公共下水道</v>
          </cell>
          <cell r="I550" t="str">
            <v>単独</v>
          </cell>
          <cell r="J550" t="str">
            <v>001</v>
          </cell>
          <cell r="K550" t="str">
            <v>茂木町水処理センター</v>
          </cell>
          <cell r="M550" t="str">
            <v>1</v>
          </cell>
          <cell r="N550" t="str">
            <v>1</v>
          </cell>
          <cell r="Q550">
            <v>38047</v>
          </cell>
          <cell r="R550" t="str">
            <v>平成</v>
          </cell>
          <cell r="S550">
            <v>16</v>
          </cell>
          <cell r="T550">
            <v>3</v>
          </cell>
          <cell r="AB550">
            <v>26070</v>
          </cell>
          <cell r="AC550" t="str">
            <v>逆川</v>
          </cell>
          <cell r="AD550" t="str">
            <v>Ａ</v>
          </cell>
          <cell r="AE550" t="str">
            <v>イ</v>
          </cell>
          <cell r="AF550">
            <v>15</v>
          </cell>
          <cell r="AK550" t="str">
            <v>逆川</v>
          </cell>
          <cell r="AL550" t="str">
            <v>茂木町那珂川取水場</v>
          </cell>
          <cell r="AM550">
            <v>7</v>
          </cell>
          <cell r="AO550" t="str">
            <v>茂木町</v>
          </cell>
          <cell r="AQ550" t="str">
            <v/>
          </cell>
          <cell r="AR550" t="str">
            <v>オキシディションディッチ法</v>
          </cell>
          <cell r="AS550" t="str">
            <v>0934301001</v>
          </cell>
          <cell r="AT550" t="str">
            <v/>
          </cell>
          <cell r="AU550" t="str">
            <v>10</v>
          </cell>
          <cell r="AV550" t="str">
            <v>10</v>
          </cell>
          <cell r="AW550">
            <v>0</v>
          </cell>
          <cell r="AX550">
            <v>0</v>
          </cell>
          <cell r="AY550">
            <v>0</v>
          </cell>
          <cell r="AZ550">
            <v>0</v>
          </cell>
          <cell r="BA550">
            <v>0</v>
          </cell>
          <cell r="BD550" t="str">
            <v/>
          </cell>
          <cell r="BE550">
            <v>1</v>
          </cell>
          <cell r="BG550" t="str">
            <v>1100</v>
          </cell>
        </row>
        <row r="551">
          <cell r="B551" t="str">
            <v>G093440106100100</v>
          </cell>
          <cell r="C551" t="str">
            <v>09.栃木県</v>
          </cell>
          <cell r="D551" t="str">
            <v>344</v>
          </cell>
          <cell r="E551" t="str">
            <v>市貝町</v>
          </cell>
          <cell r="F551" t="str">
            <v>01</v>
          </cell>
          <cell r="G551" t="str">
            <v>公共 単独</v>
          </cell>
          <cell r="H551" t="str">
            <v>公共下水道</v>
          </cell>
          <cell r="I551" t="str">
            <v>単独</v>
          </cell>
          <cell r="J551" t="str">
            <v>001</v>
          </cell>
          <cell r="K551" t="str">
            <v>市貝町水処理センター</v>
          </cell>
          <cell r="M551" t="str">
            <v>1</v>
          </cell>
          <cell r="N551" t="str">
            <v>1</v>
          </cell>
          <cell r="Q551">
            <v>38439</v>
          </cell>
          <cell r="R551" t="str">
            <v>平成</v>
          </cell>
          <cell r="S551">
            <v>17</v>
          </cell>
          <cell r="T551">
            <v>3</v>
          </cell>
          <cell r="AB551">
            <v>19580</v>
          </cell>
          <cell r="AC551" t="str">
            <v>小貝川</v>
          </cell>
          <cell r="AD551" t="str">
            <v>Ａ</v>
          </cell>
          <cell r="AE551" t="str">
            <v>イ</v>
          </cell>
          <cell r="AK551" t="str">
            <v>小貝川</v>
          </cell>
          <cell r="AL551" t="str">
            <v>木下取入場</v>
          </cell>
          <cell r="AN551">
            <v>81</v>
          </cell>
          <cell r="AO551" t="str">
            <v>印西市</v>
          </cell>
          <cell r="AQ551" t="str">
            <v/>
          </cell>
          <cell r="AR551" t="str">
            <v>オキシディションディッチ法</v>
          </cell>
          <cell r="AS551" t="str">
            <v>0934401001</v>
          </cell>
          <cell r="AT551" t="str">
            <v/>
          </cell>
          <cell r="AU551" t="str">
            <v>10</v>
          </cell>
          <cell r="AV551" t="str">
            <v>10</v>
          </cell>
          <cell r="AW551">
            <v>0</v>
          </cell>
          <cell r="AX551">
            <v>0</v>
          </cell>
          <cell r="AY551">
            <v>0</v>
          </cell>
          <cell r="AZ551">
            <v>0</v>
          </cell>
          <cell r="BA551">
            <v>0</v>
          </cell>
          <cell r="BD551" t="str">
            <v/>
          </cell>
          <cell r="BE551">
            <v>1</v>
          </cell>
          <cell r="BG551" t="str">
            <v>1100</v>
          </cell>
        </row>
        <row r="552">
          <cell r="B552" t="str">
            <v>G093450106100100</v>
          </cell>
          <cell r="C552" t="str">
            <v>09.栃木県</v>
          </cell>
          <cell r="D552" t="str">
            <v>345</v>
          </cell>
          <cell r="E552" t="str">
            <v>芳賀町</v>
          </cell>
          <cell r="F552" t="str">
            <v>01</v>
          </cell>
          <cell r="G552" t="str">
            <v>公共 単独</v>
          </cell>
          <cell r="H552" t="str">
            <v>公共下水道</v>
          </cell>
          <cell r="I552" t="str">
            <v>単独</v>
          </cell>
          <cell r="J552" t="str">
            <v>001</v>
          </cell>
          <cell r="K552" t="str">
            <v>芳賀町水処理センター</v>
          </cell>
          <cell r="M552" t="str">
            <v>1</v>
          </cell>
          <cell r="N552" t="str">
            <v>1</v>
          </cell>
          <cell r="Q552">
            <v>38412</v>
          </cell>
          <cell r="R552" t="str">
            <v>平成</v>
          </cell>
          <cell r="S552">
            <v>17</v>
          </cell>
          <cell r="T552">
            <v>3</v>
          </cell>
          <cell r="AB552">
            <v>27600</v>
          </cell>
          <cell r="AC552" t="str">
            <v>五行川</v>
          </cell>
          <cell r="AD552" t="str">
            <v>Ａ</v>
          </cell>
          <cell r="AE552" t="str">
            <v>イ</v>
          </cell>
          <cell r="AF552">
            <v>15</v>
          </cell>
          <cell r="AK552" t="str">
            <v>五行川</v>
          </cell>
          <cell r="AL552" t="str">
            <v>木下取水場</v>
          </cell>
          <cell r="AN552">
            <v>98</v>
          </cell>
          <cell r="AO552" t="str">
            <v>印西市</v>
          </cell>
          <cell r="AQ552" t="str">
            <v/>
          </cell>
          <cell r="AR552" t="str">
            <v>オキシディションディッチ法</v>
          </cell>
          <cell r="AS552" t="str">
            <v>0934501001</v>
          </cell>
          <cell r="AT552" t="str">
            <v/>
          </cell>
          <cell r="AU552" t="str">
            <v>10</v>
          </cell>
          <cell r="AV552" t="str">
            <v>10</v>
          </cell>
          <cell r="AW552">
            <v>0</v>
          </cell>
          <cell r="AX552">
            <v>0</v>
          </cell>
          <cell r="AY552">
            <v>0</v>
          </cell>
          <cell r="AZ552">
            <v>0</v>
          </cell>
          <cell r="BA552">
            <v>0</v>
          </cell>
          <cell r="BD552" t="str">
            <v/>
          </cell>
          <cell r="BE552">
            <v>1</v>
          </cell>
          <cell r="BG552" t="str">
            <v>1100</v>
          </cell>
        </row>
        <row r="553">
          <cell r="B553" t="str">
            <v>G093610106100100</v>
          </cell>
          <cell r="C553" t="str">
            <v>09.栃木県</v>
          </cell>
          <cell r="D553" t="str">
            <v>361</v>
          </cell>
          <cell r="E553" t="str">
            <v>壬生町</v>
          </cell>
          <cell r="F553" t="str">
            <v>01</v>
          </cell>
          <cell r="G553" t="str">
            <v>公共 単独</v>
          </cell>
          <cell r="H553" t="str">
            <v>公共下水道</v>
          </cell>
          <cell r="I553" t="str">
            <v>単独</v>
          </cell>
          <cell r="J553" t="str">
            <v>001</v>
          </cell>
          <cell r="K553" t="str">
            <v>北部処理場</v>
          </cell>
          <cell r="M553" t="str">
            <v>1</v>
          </cell>
          <cell r="N553" t="str">
            <v>1</v>
          </cell>
          <cell r="Q553">
            <v>24959</v>
          </cell>
          <cell r="R553" t="str">
            <v>昭和</v>
          </cell>
          <cell r="S553">
            <v>43</v>
          </cell>
          <cell r="T553">
            <v>5</v>
          </cell>
          <cell r="AB553">
            <v>40765</v>
          </cell>
          <cell r="AC553" t="str">
            <v>姿川</v>
          </cell>
          <cell r="AD553" t="str">
            <v>Ｂ</v>
          </cell>
          <cell r="AE553" t="str">
            <v>イ</v>
          </cell>
          <cell r="AF553">
            <v>15</v>
          </cell>
          <cell r="AI553" t="str">
            <v>姿川</v>
          </cell>
          <cell r="AL553" t="str">
            <v>東島田取水口</v>
          </cell>
          <cell r="AN553">
            <v>17.5</v>
          </cell>
          <cell r="AO553" t="str">
            <v>小山市</v>
          </cell>
          <cell r="AQ553" t="str">
            <v/>
          </cell>
          <cell r="AR553" t="str">
            <v>標準活性汚泥法</v>
          </cell>
          <cell r="AS553" t="str">
            <v>0936101001</v>
          </cell>
          <cell r="AT553" t="str">
            <v/>
          </cell>
          <cell r="AU553" t="str">
            <v>10</v>
          </cell>
          <cell r="AV553" t="str">
            <v>10</v>
          </cell>
          <cell r="AW553">
            <v>0</v>
          </cell>
          <cell r="AX553">
            <v>0</v>
          </cell>
          <cell r="AY553">
            <v>0</v>
          </cell>
          <cell r="AZ553">
            <v>0</v>
          </cell>
          <cell r="BA553">
            <v>0</v>
          </cell>
          <cell r="BD553" t="str">
            <v/>
          </cell>
          <cell r="BE553">
            <v>1</v>
          </cell>
          <cell r="BG553" t="str">
            <v>1100</v>
          </cell>
        </row>
        <row r="554">
          <cell r="B554" t="str">
            <v>G093860106100100</v>
          </cell>
          <cell r="C554" t="str">
            <v>09.栃木県</v>
          </cell>
          <cell r="D554" t="str">
            <v>386</v>
          </cell>
          <cell r="E554" t="str">
            <v>高根沢町</v>
          </cell>
          <cell r="F554" t="str">
            <v>01</v>
          </cell>
          <cell r="G554" t="str">
            <v>公共 単独</v>
          </cell>
          <cell r="H554" t="str">
            <v>公共下水道</v>
          </cell>
          <cell r="I554" t="str">
            <v>単独</v>
          </cell>
          <cell r="J554" t="str">
            <v>001</v>
          </cell>
          <cell r="K554" t="str">
            <v>仁井田水処理センター</v>
          </cell>
          <cell r="M554" t="str">
            <v>1</v>
          </cell>
          <cell r="N554" t="str">
            <v>1</v>
          </cell>
          <cell r="Q554">
            <v>34417</v>
          </cell>
          <cell r="R554" t="str">
            <v>平成</v>
          </cell>
          <cell r="S554">
            <v>6</v>
          </cell>
          <cell r="T554">
            <v>3</v>
          </cell>
          <cell r="AB554">
            <v>2200</v>
          </cell>
          <cell r="AC554" t="str">
            <v>五行川</v>
          </cell>
          <cell r="AD554" t="str">
            <v>Ａ</v>
          </cell>
          <cell r="AE554" t="str">
            <v>イ</v>
          </cell>
          <cell r="AF554">
            <v>15</v>
          </cell>
          <cell r="AI554" t="str">
            <v>井沼川</v>
          </cell>
          <cell r="AK554" t="str">
            <v>五行川</v>
          </cell>
          <cell r="AN554">
            <v>108</v>
          </cell>
          <cell r="AQ554" t="str">
            <v/>
          </cell>
          <cell r="AR554" t="str">
            <v>オキシディションディッチ法</v>
          </cell>
          <cell r="AS554" t="str">
            <v>0938601001</v>
          </cell>
          <cell r="AT554" t="str">
            <v/>
          </cell>
          <cell r="AU554" t="str">
            <v>10</v>
          </cell>
          <cell r="AV554" t="str">
            <v>10</v>
          </cell>
          <cell r="AW554">
            <v>0</v>
          </cell>
          <cell r="AX554">
            <v>0</v>
          </cell>
          <cell r="AY554">
            <v>0</v>
          </cell>
          <cell r="AZ554">
            <v>0</v>
          </cell>
          <cell r="BA554">
            <v>0</v>
          </cell>
          <cell r="BD554" t="str">
            <v/>
          </cell>
          <cell r="BE554">
            <v>1</v>
          </cell>
          <cell r="BG554" t="str">
            <v>1100</v>
          </cell>
        </row>
        <row r="555">
          <cell r="B555" t="str">
            <v>G093860106100200</v>
          </cell>
          <cell r="C555" t="str">
            <v>09.栃木県</v>
          </cell>
          <cell r="D555" t="str">
            <v>386</v>
          </cell>
          <cell r="E555" t="str">
            <v>高根沢町</v>
          </cell>
          <cell r="F555" t="str">
            <v>01</v>
          </cell>
          <cell r="G555" t="str">
            <v>公共 単独</v>
          </cell>
          <cell r="H555" t="str">
            <v>公共下水道</v>
          </cell>
          <cell r="I555" t="str">
            <v>単独</v>
          </cell>
          <cell r="J555" t="str">
            <v>002</v>
          </cell>
          <cell r="K555" t="str">
            <v>宝積寺アクアセンター</v>
          </cell>
          <cell r="M555" t="str">
            <v>1</v>
          </cell>
          <cell r="N555" t="str">
            <v>1</v>
          </cell>
          <cell r="Q555">
            <v>36612</v>
          </cell>
          <cell r="R555" t="str">
            <v>平成</v>
          </cell>
          <cell r="S555">
            <v>12</v>
          </cell>
          <cell r="T555">
            <v>3</v>
          </cell>
          <cell r="AB555">
            <v>30361</v>
          </cell>
          <cell r="AC555" t="str">
            <v>鬼怒川</v>
          </cell>
          <cell r="AD555" t="str">
            <v>Ａ</v>
          </cell>
          <cell r="AE555" t="str">
            <v>イ</v>
          </cell>
          <cell r="AF555">
            <v>15</v>
          </cell>
          <cell r="AK555" t="str">
            <v>鬼怒川</v>
          </cell>
          <cell r="AL555" t="str">
            <v>鬼怒川頭首工</v>
          </cell>
          <cell r="AM555">
            <v>0.3</v>
          </cell>
          <cell r="AO555" t="str">
            <v>宇都宮市・高根沢町</v>
          </cell>
          <cell r="AQ555" t="str">
            <v/>
          </cell>
          <cell r="AR555" t="str">
            <v>オキシディションディッチ法</v>
          </cell>
          <cell r="AS555" t="str">
            <v>0938601002</v>
          </cell>
          <cell r="AT555" t="str">
            <v/>
          </cell>
          <cell r="AU555" t="str">
            <v>10</v>
          </cell>
          <cell r="AV555" t="str">
            <v>10</v>
          </cell>
          <cell r="AW555">
            <v>0</v>
          </cell>
          <cell r="AX555">
            <v>0</v>
          </cell>
          <cell r="AY555">
            <v>0</v>
          </cell>
          <cell r="AZ555">
            <v>0</v>
          </cell>
          <cell r="BA555">
            <v>0</v>
          </cell>
          <cell r="BD555" t="str">
            <v/>
          </cell>
          <cell r="BE555">
            <v>1</v>
          </cell>
          <cell r="BG555" t="str">
            <v>1100</v>
          </cell>
        </row>
        <row r="556">
          <cell r="B556" t="str">
            <v>G094070106100100</v>
          </cell>
          <cell r="C556" t="str">
            <v>09.栃木県</v>
          </cell>
          <cell r="D556" t="str">
            <v>407</v>
          </cell>
          <cell r="E556" t="str">
            <v>那須町</v>
          </cell>
          <cell r="F556" t="str">
            <v>01</v>
          </cell>
          <cell r="G556" t="str">
            <v>公共 単独</v>
          </cell>
          <cell r="H556" t="str">
            <v>公共下水道</v>
          </cell>
          <cell r="I556" t="str">
            <v>単独</v>
          </cell>
          <cell r="J556" t="str">
            <v>001</v>
          </cell>
          <cell r="K556" t="str">
            <v>湯本浄化センター</v>
          </cell>
          <cell r="M556" t="str">
            <v>1</v>
          </cell>
          <cell r="N556" t="str">
            <v>1</v>
          </cell>
          <cell r="O556" t="str">
            <v>1</v>
          </cell>
          <cell r="Q556">
            <v>30742</v>
          </cell>
          <cell r="R556" t="str">
            <v>昭和</v>
          </cell>
          <cell r="S556">
            <v>59</v>
          </cell>
          <cell r="T556">
            <v>3</v>
          </cell>
          <cell r="AB556">
            <v>28136</v>
          </cell>
          <cell r="AC556" t="str">
            <v>那珂川水系</v>
          </cell>
          <cell r="AD556" t="str">
            <v>Ａ</v>
          </cell>
          <cell r="AE556" t="str">
            <v>イ</v>
          </cell>
          <cell r="AF556">
            <v>15</v>
          </cell>
          <cell r="AK556" t="str">
            <v>湯川</v>
          </cell>
          <cell r="AL556" t="str">
            <v>茂木町那珂川取水口</v>
          </cell>
          <cell r="AN556">
            <v>61.5</v>
          </cell>
          <cell r="AO556" t="str">
            <v>茂木町</v>
          </cell>
          <cell r="AQ556" t="str">
            <v/>
          </cell>
          <cell r="AR556" t="str">
            <v>標準活性汚泥法</v>
          </cell>
          <cell r="AS556" t="str">
            <v>0940701001</v>
          </cell>
          <cell r="AT556" t="str">
            <v/>
          </cell>
          <cell r="AU556" t="str">
            <v>11</v>
          </cell>
          <cell r="AV556" t="str">
            <v>10</v>
          </cell>
          <cell r="AW556">
            <v>0</v>
          </cell>
          <cell r="AX556">
            <v>0</v>
          </cell>
          <cell r="AY556">
            <v>-1</v>
          </cell>
          <cell r="AZ556">
            <v>0</v>
          </cell>
          <cell r="BA556">
            <v>1</v>
          </cell>
          <cell r="BC556" t="str">
            <v>コンポスト休止</v>
          </cell>
          <cell r="BD556" t="str">
            <v>コンポスト休止</v>
          </cell>
          <cell r="BE556">
            <v>1</v>
          </cell>
          <cell r="BG556" t="str">
            <v>1110</v>
          </cell>
        </row>
        <row r="557">
          <cell r="B557" t="str">
            <v>G094070106100200</v>
          </cell>
          <cell r="C557" t="str">
            <v>09.栃木県</v>
          </cell>
          <cell r="D557" t="str">
            <v>407</v>
          </cell>
          <cell r="E557" t="str">
            <v>那須町</v>
          </cell>
          <cell r="F557" t="str">
            <v>01</v>
          </cell>
          <cell r="G557" t="str">
            <v>公共 単独</v>
          </cell>
          <cell r="H557" t="str">
            <v>公共下水道</v>
          </cell>
          <cell r="I557" t="str">
            <v>単独</v>
          </cell>
          <cell r="J557" t="str">
            <v>002</v>
          </cell>
          <cell r="K557" t="str">
            <v>黒田原水処理センター</v>
          </cell>
          <cell r="M557" t="str">
            <v>1</v>
          </cell>
          <cell r="N557" t="str">
            <v>1</v>
          </cell>
          <cell r="Q557">
            <v>37316</v>
          </cell>
          <cell r="R557" t="str">
            <v>平成</v>
          </cell>
          <cell r="S557">
            <v>14</v>
          </cell>
          <cell r="T557">
            <v>3</v>
          </cell>
          <cell r="AB557">
            <v>23596</v>
          </cell>
          <cell r="AC557" t="str">
            <v>那珂川水系</v>
          </cell>
          <cell r="AD557" t="str">
            <v>Ａ</v>
          </cell>
          <cell r="AE557" t="str">
            <v>イ</v>
          </cell>
          <cell r="AF557">
            <v>15</v>
          </cell>
          <cell r="AK557" t="str">
            <v>黒川</v>
          </cell>
          <cell r="AL557" t="str">
            <v>茂木町那珂川取水口</v>
          </cell>
          <cell r="AN557">
            <v>63</v>
          </cell>
          <cell r="AO557" t="str">
            <v>茂木町</v>
          </cell>
          <cell r="AQ557" t="str">
            <v/>
          </cell>
          <cell r="AR557" t="str">
            <v>オキシディションディッチ法</v>
          </cell>
          <cell r="AS557" t="str">
            <v>0940701002</v>
          </cell>
          <cell r="AT557" t="str">
            <v/>
          </cell>
          <cell r="AU557" t="str">
            <v>10</v>
          </cell>
          <cell r="AV557" t="str">
            <v>10</v>
          </cell>
          <cell r="AW557">
            <v>0</v>
          </cell>
          <cell r="AX557">
            <v>0</v>
          </cell>
          <cell r="AY557">
            <v>0</v>
          </cell>
          <cell r="AZ557">
            <v>0</v>
          </cell>
          <cell r="BA557">
            <v>0</v>
          </cell>
          <cell r="BD557" t="str">
            <v/>
          </cell>
          <cell r="BE557">
            <v>1</v>
          </cell>
          <cell r="BG557" t="str">
            <v>1100</v>
          </cell>
        </row>
        <row r="558">
          <cell r="B558" t="str">
            <v>G094110106100100</v>
          </cell>
          <cell r="C558" t="str">
            <v>09.栃木県</v>
          </cell>
          <cell r="D558" t="str">
            <v>411</v>
          </cell>
          <cell r="E558" t="str">
            <v>那珂川町</v>
          </cell>
          <cell r="F558" t="str">
            <v>01</v>
          </cell>
          <cell r="G558" t="str">
            <v>公共 単独</v>
          </cell>
          <cell r="H558" t="str">
            <v>公共下水道</v>
          </cell>
          <cell r="I558" t="str">
            <v>単独</v>
          </cell>
          <cell r="J558" t="str">
            <v>001</v>
          </cell>
          <cell r="K558" t="str">
            <v>馬頭浄化センター</v>
          </cell>
          <cell r="M558" t="str">
            <v>1</v>
          </cell>
          <cell r="N558" t="str">
            <v>1</v>
          </cell>
          <cell r="Q558">
            <v>38777</v>
          </cell>
          <cell r="R558" t="str">
            <v>平成</v>
          </cell>
          <cell r="S558">
            <v>18</v>
          </cell>
          <cell r="T558">
            <v>3</v>
          </cell>
          <cell r="AB558">
            <v>17000</v>
          </cell>
          <cell r="AC558" t="str">
            <v>武茂川</v>
          </cell>
          <cell r="AD558" t="str">
            <v>Ａ</v>
          </cell>
          <cell r="AE558" t="str">
            <v>イ</v>
          </cell>
          <cell r="AK558" t="str">
            <v>武茂川</v>
          </cell>
          <cell r="AL558" t="str">
            <v>松山取水場</v>
          </cell>
          <cell r="AN558">
            <v>55.2</v>
          </cell>
          <cell r="AO558" t="str">
            <v>城里町</v>
          </cell>
          <cell r="AQ558" t="str">
            <v/>
          </cell>
          <cell r="AR558" t="str">
            <v>オキシディションディッチ法</v>
          </cell>
          <cell r="AS558" t="str">
            <v>0941101001</v>
          </cell>
          <cell r="AT558" t="str">
            <v/>
          </cell>
          <cell r="AU558" t="str">
            <v>10</v>
          </cell>
          <cell r="AV558" t="str">
            <v>10</v>
          </cell>
          <cell r="AW558">
            <v>0</v>
          </cell>
          <cell r="AX558">
            <v>0</v>
          </cell>
          <cell r="AY558">
            <v>0</v>
          </cell>
          <cell r="AZ558">
            <v>0</v>
          </cell>
          <cell r="BA558">
            <v>0</v>
          </cell>
          <cell r="BD558" t="str">
            <v/>
          </cell>
          <cell r="BE558">
            <v>1</v>
          </cell>
          <cell r="BG558" t="str">
            <v>1100</v>
          </cell>
        </row>
        <row r="559">
          <cell r="B559" t="str">
            <v>G094110206100200</v>
          </cell>
          <cell r="C559" t="str">
            <v>09.栃木県</v>
          </cell>
          <cell r="D559" t="str">
            <v>411</v>
          </cell>
          <cell r="E559" t="str">
            <v>那珂川町</v>
          </cell>
          <cell r="F559" t="str">
            <v>02</v>
          </cell>
          <cell r="G559" t="str">
            <v>特環 単独</v>
          </cell>
          <cell r="H559" t="str">
            <v>特定環境保全公共下水道</v>
          </cell>
          <cell r="I559" t="str">
            <v>単独</v>
          </cell>
          <cell r="J559" t="str">
            <v>002</v>
          </cell>
          <cell r="K559" t="str">
            <v>小川水処理センター</v>
          </cell>
          <cell r="M559" t="str">
            <v>1</v>
          </cell>
          <cell r="N559" t="str">
            <v>1</v>
          </cell>
          <cell r="Q559">
            <v>34029</v>
          </cell>
          <cell r="R559" t="str">
            <v>平成</v>
          </cell>
          <cell r="S559">
            <v>5</v>
          </cell>
          <cell r="T559">
            <v>3</v>
          </cell>
          <cell r="AB559">
            <v>11200</v>
          </cell>
          <cell r="AC559" t="str">
            <v>那珂川</v>
          </cell>
          <cell r="AD559" t="str">
            <v>Ａ</v>
          </cell>
          <cell r="AE559" t="str">
            <v>イ</v>
          </cell>
          <cell r="AF559">
            <v>15</v>
          </cell>
          <cell r="AK559" t="str">
            <v>権津川</v>
          </cell>
          <cell r="AL559" t="str">
            <v>松山下取水場</v>
          </cell>
          <cell r="AN559">
            <v>56.8</v>
          </cell>
          <cell r="AO559" t="str">
            <v>城里町</v>
          </cell>
          <cell r="AQ559" t="str">
            <v/>
          </cell>
          <cell r="AR559" t="str">
            <v>オキシディションディッチ法</v>
          </cell>
          <cell r="AS559" t="str">
            <v>0941102002</v>
          </cell>
          <cell r="AT559" t="str">
            <v/>
          </cell>
          <cell r="AU559" t="str">
            <v>10</v>
          </cell>
          <cell r="AV559" t="str">
            <v>10</v>
          </cell>
          <cell r="AW559">
            <v>0</v>
          </cell>
          <cell r="AX559">
            <v>0</v>
          </cell>
          <cell r="AY559">
            <v>0</v>
          </cell>
          <cell r="AZ559">
            <v>0</v>
          </cell>
          <cell r="BA559">
            <v>0</v>
          </cell>
          <cell r="BD559" t="str">
            <v/>
          </cell>
          <cell r="BE559">
            <v>1</v>
          </cell>
          <cell r="BG559" t="str">
            <v>1100</v>
          </cell>
        </row>
        <row r="560">
          <cell r="B560" t="str">
            <v>G100018106100100</v>
          </cell>
          <cell r="C560" t="str">
            <v>10.群馬県</v>
          </cell>
          <cell r="D560" t="str">
            <v>001</v>
          </cell>
          <cell r="E560" t="str">
            <v>利根川上流流域</v>
          </cell>
          <cell r="F560" t="str">
            <v>81</v>
          </cell>
          <cell r="G560" t="str">
            <v>流域</v>
          </cell>
          <cell r="H560" t="str">
            <v>流域下水道</v>
          </cell>
          <cell r="I560" t="str">
            <v/>
          </cell>
          <cell r="J560" t="str">
            <v>001</v>
          </cell>
          <cell r="K560" t="str">
            <v>奥利根水質浄化センター</v>
          </cell>
          <cell r="M560" t="str">
            <v>1</v>
          </cell>
          <cell r="N560" t="str">
            <v>1</v>
          </cell>
          <cell r="Q560">
            <v>29677</v>
          </cell>
          <cell r="R560" t="str">
            <v>昭和</v>
          </cell>
          <cell r="S560">
            <v>56</v>
          </cell>
          <cell r="T560">
            <v>4</v>
          </cell>
          <cell r="AB560">
            <v>56300</v>
          </cell>
          <cell r="AC560" t="str">
            <v>利根川上流(2)</v>
          </cell>
          <cell r="AD560" t="str">
            <v>Ａ</v>
          </cell>
          <cell r="AE560" t="str">
            <v>イ</v>
          </cell>
          <cell r="AF560">
            <v>15</v>
          </cell>
          <cell r="AK560" t="str">
            <v>利根川</v>
          </cell>
          <cell r="AL560" t="str">
            <v>群馬用水取水</v>
          </cell>
          <cell r="AN560">
            <v>6.4</v>
          </cell>
          <cell r="AO560" t="str">
            <v>前橋市、高崎市等</v>
          </cell>
          <cell r="AQ560" t="str">
            <v/>
          </cell>
          <cell r="AR560" t="str">
            <v>標準活性汚泥法</v>
          </cell>
          <cell r="AS560" t="str">
            <v>1000181001</v>
          </cell>
          <cell r="AT560" t="str">
            <v/>
          </cell>
          <cell r="AU560" t="str">
            <v>10</v>
          </cell>
          <cell r="AV560" t="str">
            <v>10</v>
          </cell>
          <cell r="AW560">
            <v>0</v>
          </cell>
          <cell r="AX560">
            <v>0</v>
          </cell>
          <cell r="AY560">
            <v>0</v>
          </cell>
          <cell r="AZ560">
            <v>0</v>
          </cell>
          <cell r="BA560">
            <v>0</v>
          </cell>
          <cell r="BD560" t="str">
            <v/>
          </cell>
          <cell r="BE560">
            <v>1</v>
          </cell>
          <cell r="BG560" t="str">
            <v>1100</v>
          </cell>
        </row>
        <row r="561">
          <cell r="B561" t="str">
            <v>G100018106100200</v>
          </cell>
          <cell r="C561" t="str">
            <v>10.群馬県</v>
          </cell>
          <cell r="D561" t="str">
            <v>001</v>
          </cell>
          <cell r="E561" t="str">
            <v>利根川上流流域</v>
          </cell>
          <cell r="F561" t="str">
            <v>81</v>
          </cell>
          <cell r="G561" t="str">
            <v>流域</v>
          </cell>
          <cell r="H561" t="str">
            <v>流域下水道</v>
          </cell>
          <cell r="I561" t="str">
            <v/>
          </cell>
          <cell r="J561" t="str">
            <v>002</v>
          </cell>
          <cell r="K561" t="str">
            <v>県央水質浄化センター</v>
          </cell>
          <cell r="M561" t="str">
            <v>1</v>
          </cell>
          <cell r="N561" t="str">
            <v>1</v>
          </cell>
          <cell r="P561" t="str">
            <v>1</v>
          </cell>
          <cell r="Q561">
            <v>32051</v>
          </cell>
          <cell r="R561" t="str">
            <v>昭和</v>
          </cell>
          <cell r="S561">
            <v>62</v>
          </cell>
          <cell r="T561">
            <v>10</v>
          </cell>
          <cell r="AB561">
            <v>342000</v>
          </cell>
          <cell r="AC561" t="str">
            <v>利根川上流(4)</v>
          </cell>
          <cell r="AD561" t="str">
            <v>Ａ</v>
          </cell>
          <cell r="AE561" t="str">
            <v>イ</v>
          </cell>
          <cell r="AF561">
            <v>10</v>
          </cell>
          <cell r="AK561" t="str">
            <v>利根川</v>
          </cell>
          <cell r="AQ561" t="str">
            <v/>
          </cell>
          <cell r="AR561" t="str">
            <v>標準活性汚泥法</v>
          </cell>
          <cell r="AS561" t="str">
            <v>1000181002</v>
          </cell>
          <cell r="AT561" t="str">
            <v/>
          </cell>
          <cell r="AU561" t="str">
            <v>10</v>
          </cell>
          <cell r="AV561" t="str">
            <v>10</v>
          </cell>
          <cell r="AW561">
            <v>1</v>
          </cell>
          <cell r="AX561">
            <v>0</v>
          </cell>
          <cell r="AY561">
            <v>0</v>
          </cell>
          <cell r="AZ561">
            <v>0</v>
          </cell>
          <cell r="BA561">
            <v>0</v>
          </cell>
          <cell r="BD561" t="str">
            <v/>
          </cell>
          <cell r="BE561">
            <v>1</v>
          </cell>
          <cell r="BG561" t="str">
            <v>1101</v>
          </cell>
        </row>
        <row r="562">
          <cell r="B562" t="str">
            <v>G100028106100100</v>
          </cell>
          <cell r="C562" t="str">
            <v>10.群馬県</v>
          </cell>
          <cell r="D562" t="str">
            <v>002</v>
          </cell>
          <cell r="E562" t="str">
            <v>利根川左岸流域</v>
          </cell>
          <cell r="F562" t="str">
            <v>81</v>
          </cell>
          <cell r="G562" t="str">
            <v>流域</v>
          </cell>
          <cell r="H562" t="str">
            <v>流域下水道</v>
          </cell>
          <cell r="I562" t="str">
            <v/>
          </cell>
          <cell r="J562" t="str">
            <v>001</v>
          </cell>
          <cell r="K562" t="str">
            <v>西邑楽水質浄化センター</v>
          </cell>
          <cell r="M562" t="str">
            <v>1</v>
          </cell>
          <cell r="N562" t="str">
            <v>1</v>
          </cell>
          <cell r="Q562">
            <v>36617</v>
          </cell>
          <cell r="R562" t="str">
            <v>平成</v>
          </cell>
          <cell r="S562">
            <v>12</v>
          </cell>
          <cell r="T562">
            <v>4</v>
          </cell>
          <cell r="AB562">
            <v>100000</v>
          </cell>
          <cell r="AC562" t="str">
            <v>利根川中流</v>
          </cell>
          <cell r="AD562" t="str">
            <v>Ａ</v>
          </cell>
          <cell r="AE562" t="str">
            <v>イ</v>
          </cell>
          <cell r="AF562">
            <v>10</v>
          </cell>
          <cell r="AK562" t="str">
            <v>利根川</v>
          </cell>
          <cell r="AL562" t="str">
            <v>群馬県東部地域水道</v>
          </cell>
          <cell r="AN562">
            <v>2.7</v>
          </cell>
          <cell r="AO562" t="str">
            <v>太田市、館林市等</v>
          </cell>
          <cell r="AQ562" t="str">
            <v/>
          </cell>
          <cell r="AR562" t="str">
            <v>標準活性汚泥法</v>
          </cell>
          <cell r="AS562" t="str">
            <v>1000281001</v>
          </cell>
          <cell r="AT562" t="str">
            <v/>
          </cell>
          <cell r="AU562" t="str">
            <v>10</v>
          </cell>
          <cell r="AV562" t="str">
            <v>10</v>
          </cell>
          <cell r="AW562">
            <v>0</v>
          </cell>
          <cell r="AX562">
            <v>0</v>
          </cell>
          <cell r="AY562">
            <v>0</v>
          </cell>
          <cell r="AZ562">
            <v>0</v>
          </cell>
          <cell r="BA562">
            <v>0</v>
          </cell>
          <cell r="BD562" t="str">
            <v/>
          </cell>
          <cell r="BE562">
            <v>1</v>
          </cell>
          <cell r="BG562" t="str">
            <v>1100</v>
          </cell>
        </row>
        <row r="563">
          <cell r="B563" t="str">
            <v>G100038106100100</v>
          </cell>
          <cell r="C563" t="str">
            <v>10.群馬県</v>
          </cell>
          <cell r="D563" t="str">
            <v>003</v>
          </cell>
          <cell r="E563" t="str">
            <v>利根・渡良瀬流域</v>
          </cell>
          <cell r="F563" t="str">
            <v>81</v>
          </cell>
          <cell r="G563" t="str">
            <v>流域</v>
          </cell>
          <cell r="H563" t="str">
            <v>流域下水道</v>
          </cell>
          <cell r="I563" t="str">
            <v/>
          </cell>
          <cell r="J563" t="str">
            <v>001</v>
          </cell>
          <cell r="K563" t="str">
            <v>桐生水質浄化センター</v>
          </cell>
          <cell r="M563" t="str">
            <v>1</v>
          </cell>
          <cell r="N563" t="str">
            <v>1</v>
          </cell>
          <cell r="Q563">
            <v>31138</v>
          </cell>
          <cell r="R563" t="str">
            <v>昭和</v>
          </cell>
          <cell r="S563">
            <v>60</v>
          </cell>
          <cell r="T563">
            <v>4</v>
          </cell>
          <cell r="AB563">
            <v>48700</v>
          </cell>
          <cell r="AC563" t="str">
            <v>渡良瀬川</v>
          </cell>
          <cell r="AD563" t="str">
            <v>Ａ</v>
          </cell>
          <cell r="AE563" t="str">
            <v>イ</v>
          </cell>
          <cell r="AF563">
            <v>12</v>
          </cell>
          <cell r="AK563" t="str">
            <v>渡良瀬川</v>
          </cell>
          <cell r="AL563" t="str">
            <v>渡良瀬川取水口</v>
          </cell>
          <cell r="AM563">
            <v>3.2</v>
          </cell>
          <cell r="AO563" t="str">
            <v>太田市</v>
          </cell>
          <cell r="AQ563" t="str">
            <v/>
          </cell>
          <cell r="AR563" t="str">
            <v>標準活性汚泥法</v>
          </cell>
          <cell r="AS563" t="str">
            <v>1000381001</v>
          </cell>
          <cell r="AT563" t="str">
            <v/>
          </cell>
          <cell r="AU563" t="str">
            <v>10</v>
          </cell>
          <cell r="AV563" t="str">
            <v>10</v>
          </cell>
          <cell r="AW563">
            <v>0</v>
          </cell>
          <cell r="AX563">
            <v>0</v>
          </cell>
          <cell r="AY563">
            <v>0</v>
          </cell>
          <cell r="AZ563">
            <v>0</v>
          </cell>
          <cell r="BA563">
            <v>0</v>
          </cell>
          <cell r="BD563" t="str">
            <v/>
          </cell>
          <cell r="BE563">
            <v>1</v>
          </cell>
          <cell r="BG563" t="str">
            <v>1100</v>
          </cell>
        </row>
        <row r="564">
          <cell r="B564" t="str">
            <v>G100038106100200</v>
          </cell>
          <cell r="C564" t="str">
            <v>10.群馬県</v>
          </cell>
          <cell r="D564" t="str">
            <v>003</v>
          </cell>
          <cell r="E564" t="str">
            <v>利根・渡良瀬流域</v>
          </cell>
          <cell r="F564" t="str">
            <v>81</v>
          </cell>
          <cell r="G564" t="str">
            <v>流域</v>
          </cell>
          <cell r="H564" t="str">
            <v>流域下水道</v>
          </cell>
          <cell r="I564" t="str">
            <v/>
          </cell>
          <cell r="J564" t="str">
            <v>002</v>
          </cell>
          <cell r="K564" t="str">
            <v>利根備前島水質浄化センター</v>
          </cell>
          <cell r="M564" t="str">
            <v>1</v>
          </cell>
          <cell r="N564" t="str">
            <v>1</v>
          </cell>
          <cell r="Q564">
            <v>38899</v>
          </cell>
          <cell r="R564" t="str">
            <v>平成</v>
          </cell>
          <cell r="S564">
            <v>18</v>
          </cell>
          <cell r="T564">
            <v>7</v>
          </cell>
          <cell r="AB564">
            <v>90600</v>
          </cell>
          <cell r="AC564" t="str">
            <v>古利根橋</v>
          </cell>
          <cell r="AD564" t="str">
            <v>Ｂ</v>
          </cell>
          <cell r="AE564" t="str">
            <v>ロ</v>
          </cell>
          <cell r="AF564">
            <v>12</v>
          </cell>
          <cell r="AH564">
            <v>0.7</v>
          </cell>
          <cell r="AK564" t="str">
            <v>石田川</v>
          </cell>
          <cell r="AQ564" t="str">
            <v/>
          </cell>
          <cell r="AR564" t="str">
            <v>標準活性汚泥法</v>
          </cell>
          <cell r="AS564" t="str">
            <v>1000381002</v>
          </cell>
          <cell r="AT564" t="str">
            <v/>
          </cell>
          <cell r="AU564" t="str">
            <v>10</v>
          </cell>
          <cell r="AV564" t="str">
            <v>10</v>
          </cell>
          <cell r="AW564">
            <v>0</v>
          </cell>
          <cell r="AX564">
            <v>0</v>
          </cell>
          <cell r="AY564">
            <v>0</v>
          </cell>
          <cell r="AZ564">
            <v>0</v>
          </cell>
          <cell r="BA564">
            <v>0</v>
          </cell>
          <cell r="BD564" t="str">
            <v/>
          </cell>
          <cell r="BE564">
            <v>1</v>
          </cell>
          <cell r="BG564" t="str">
            <v>1100</v>
          </cell>
        </row>
        <row r="565">
          <cell r="B565" t="str">
            <v>G100048106100100</v>
          </cell>
          <cell r="C565" t="str">
            <v>10.群馬県</v>
          </cell>
          <cell r="D565" t="str">
            <v>004</v>
          </cell>
          <cell r="E565" t="str">
            <v>利根川佐波流域</v>
          </cell>
          <cell r="F565" t="str">
            <v>81</v>
          </cell>
          <cell r="G565" t="str">
            <v>流域</v>
          </cell>
          <cell r="H565" t="str">
            <v>流域下水道</v>
          </cell>
          <cell r="I565" t="str">
            <v/>
          </cell>
          <cell r="J565" t="str">
            <v>001</v>
          </cell>
          <cell r="K565" t="str">
            <v>平塚水質浄化センター</v>
          </cell>
          <cell r="M565" t="str">
            <v>1</v>
          </cell>
          <cell r="N565" t="str">
            <v>1</v>
          </cell>
          <cell r="Q565">
            <v>39718</v>
          </cell>
          <cell r="R565" t="str">
            <v>平成</v>
          </cell>
          <cell r="S565">
            <v>20</v>
          </cell>
          <cell r="T565">
            <v>9</v>
          </cell>
          <cell r="AB565">
            <v>92000</v>
          </cell>
          <cell r="AC565" t="str">
            <v>利根川中流</v>
          </cell>
          <cell r="AD565" t="str">
            <v>Ａ</v>
          </cell>
          <cell r="AF565">
            <v>15</v>
          </cell>
          <cell r="AI565" t="str">
            <v>利根川</v>
          </cell>
          <cell r="AQ565" t="str">
            <v/>
          </cell>
          <cell r="AR565" t="str">
            <v>標準活性汚泥法</v>
          </cell>
          <cell r="AS565" t="str">
            <v>1000481001</v>
          </cell>
          <cell r="AT565" t="str">
            <v/>
          </cell>
          <cell r="AU565" t="str">
            <v>10</v>
          </cell>
          <cell r="AV565" t="str">
            <v>10</v>
          </cell>
          <cell r="AW565">
            <v>0</v>
          </cell>
          <cell r="AX565">
            <v>0</v>
          </cell>
          <cell r="AY565">
            <v>0</v>
          </cell>
          <cell r="AZ565">
            <v>0</v>
          </cell>
          <cell r="BA565">
            <v>0</v>
          </cell>
          <cell r="BD565" t="str">
            <v/>
          </cell>
          <cell r="BE565">
            <v>1</v>
          </cell>
          <cell r="BG565" t="str">
            <v>1100</v>
          </cell>
        </row>
        <row r="566">
          <cell r="B566" t="str">
            <v>G102010106100100</v>
          </cell>
          <cell r="C566" t="str">
            <v>10.群馬県</v>
          </cell>
          <cell r="D566" t="str">
            <v>201</v>
          </cell>
          <cell r="E566" t="str">
            <v>前橋市</v>
          </cell>
          <cell r="F566" t="str">
            <v>01</v>
          </cell>
          <cell r="G566" t="str">
            <v>公共 単独</v>
          </cell>
          <cell r="H566" t="str">
            <v>公共下水道</v>
          </cell>
          <cell r="I566" t="str">
            <v>単独</v>
          </cell>
          <cell r="J566" t="str">
            <v>001</v>
          </cell>
          <cell r="K566" t="str">
            <v>前橋水質浄化センター</v>
          </cell>
          <cell r="M566" t="str">
            <v>1</v>
          </cell>
          <cell r="N566" t="str">
            <v>1</v>
          </cell>
          <cell r="O566" t="str">
            <v>1</v>
          </cell>
          <cell r="P566" t="str">
            <v>1</v>
          </cell>
          <cell r="R566" t="str">
            <v>昭和</v>
          </cell>
          <cell r="S566">
            <v>38</v>
          </cell>
          <cell r="T566">
            <v>2</v>
          </cell>
          <cell r="AB566">
            <v>49100</v>
          </cell>
          <cell r="AC566" t="str">
            <v>利根川上流（4）</v>
          </cell>
          <cell r="AD566" t="str">
            <v>Ａ</v>
          </cell>
          <cell r="AE566" t="str">
            <v>イ</v>
          </cell>
          <cell r="AF566">
            <v>15</v>
          </cell>
          <cell r="AK566" t="str">
            <v>利根川</v>
          </cell>
          <cell r="AQ566" t="str">
            <v/>
          </cell>
          <cell r="AR566" t="str">
            <v>標準活性汚泥法</v>
          </cell>
          <cell r="AS566" t="str">
            <v>1020101001</v>
          </cell>
          <cell r="AT566" t="str">
            <v/>
          </cell>
          <cell r="AU566" t="str">
            <v>11</v>
          </cell>
          <cell r="AV566" t="str">
            <v>10</v>
          </cell>
          <cell r="AW566">
            <v>1</v>
          </cell>
          <cell r="AX566">
            <v>0</v>
          </cell>
          <cell r="AY566">
            <v>-1</v>
          </cell>
          <cell r="AZ566">
            <v>0</v>
          </cell>
          <cell r="BA566">
            <v>1</v>
          </cell>
          <cell r="BC566" t="str">
            <v>溶融休止</v>
          </cell>
          <cell r="BD566" t="str">
            <v>溶融休止</v>
          </cell>
          <cell r="BE566">
            <v>1</v>
          </cell>
          <cell r="BG566" t="str">
            <v>1111</v>
          </cell>
        </row>
        <row r="567">
          <cell r="B567" t="str">
            <v>G102010206100200</v>
          </cell>
          <cell r="C567" t="str">
            <v>10.群馬県</v>
          </cell>
          <cell r="D567" t="str">
            <v>201</v>
          </cell>
          <cell r="E567" t="str">
            <v>前橋市</v>
          </cell>
          <cell r="F567" t="str">
            <v>02</v>
          </cell>
          <cell r="G567" t="str">
            <v>特環 単独</v>
          </cell>
          <cell r="H567" t="str">
            <v>特定環境保全公共下水道</v>
          </cell>
          <cell r="I567" t="str">
            <v>単独</v>
          </cell>
          <cell r="J567" t="str">
            <v>002</v>
          </cell>
          <cell r="K567" t="str">
            <v>赤城山大洞処理場</v>
          </cell>
          <cell r="M567" t="str">
            <v>1</v>
          </cell>
          <cell r="Q567">
            <v>32295</v>
          </cell>
          <cell r="R567" t="str">
            <v>昭和</v>
          </cell>
          <cell r="S567">
            <v>63</v>
          </cell>
          <cell r="T567">
            <v>6</v>
          </cell>
          <cell r="AB567">
            <v>4900</v>
          </cell>
          <cell r="AC567" t="str">
            <v>沼尾川</v>
          </cell>
          <cell r="AD567" t="str">
            <v>Ａ</v>
          </cell>
          <cell r="AE567" t="str">
            <v>ロ</v>
          </cell>
          <cell r="AI567" t="str">
            <v>沼尾川</v>
          </cell>
          <cell r="AK567" t="str">
            <v>利根川</v>
          </cell>
          <cell r="AQ567" t="str">
            <v/>
          </cell>
          <cell r="AR567" t="str">
            <v>オキシディションディッチ法</v>
          </cell>
          <cell r="AS567" t="str">
            <v>1020102002</v>
          </cell>
          <cell r="AT567" t="str">
            <v/>
          </cell>
          <cell r="AU567" t="str">
            <v>00</v>
          </cell>
          <cell r="AV567" t="str">
            <v>00</v>
          </cell>
          <cell r="AW567">
            <v>0</v>
          </cell>
          <cell r="AX567">
            <v>0</v>
          </cell>
          <cell r="AY567">
            <v>0</v>
          </cell>
          <cell r="AZ567">
            <v>0</v>
          </cell>
          <cell r="BA567">
            <v>0</v>
          </cell>
          <cell r="BB567" t="str">
            <v>濃縮休止</v>
          </cell>
          <cell r="BD567" t="str">
            <v>濃縮休止</v>
          </cell>
          <cell r="BE567">
            <v>1</v>
          </cell>
          <cell r="BG567" t="str">
            <v>1000</v>
          </cell>
        </row>
        <row r="568">
          <cell r="B568" t="str">
            <v>G102020106100100</v>
          </cell>
          <cell r="C568" t="str">
            <v>10.群馬県</v>
          </cell>
          <cell r="D568" t="str">
            <v>202</v>
          </cell>
          <cell r="E568" t="str">
            <v>高崎市</v>
          </cell>
          <cell r="F568" t="str">
            <v>01</v>
          </cell>
          <cell r="G568" t="str">
            <v>公共 単独</v>
          </cell>
          <cell r="H568" t="str">
            <v>公共下水道</v>
          </cell>
          <cell r="I568" t="str">
            <v>単独</v>
          </cell>
          <cell r="J568" t="str">
            <v>001</v>
          </cell>
          <cell r="K568" t="str">
            <v>城南水処理センター</v>
          </cell>
          <cell r="M568" t="str">
            <v>1</v>
          </cell>
          <cell r="Q568">
            <v>24777</v>
          </cell>
          <cell r="R568" t="str">
            <v>昭和</v>
          </cell>
          <cell r="S568">
            <v>42</v>
          </cell>
          <cell r="T568">
            <v>11</v>
          </cell>
          <cell r="AB568">
            <v>25800</v>
          </cell>
          <cell r="AC568" t="str">
            <v>烏川下流</v>
          </cell>
          <cell r="AD568" t="str">
            <v>Ｂ</v>
          </cell>
          <cell r="AE568" t="str">
            <v>ロ</v>
          </cell>
          <cell r="AK568" t="str">
            <v>烏川</v>
          </cell>
          <cell r="AQ568" t="str">
            <v/>
          </cell>
          <cell r="AR568" t="str">
            <v>標準活性汚泥法</v>
          </cell>
          <cell r="AS568" t="str">
            <v>1020201001</v>
          </cell>
          <cell r="AT568" t="str">
            <v/>
          </cell>
          <cell r="AU568" t="str">
            <v>00</v>
          </cell>
          <cell r="AV568" t="str">
            <v>00</v>
          </cell>
          <cell r="AW568">
            <v>0</v>
          </cell>
          <cell r="AX568">
            <v>0</v>
          </cell>
          <cell r="AY568">
            <v>0</v>
          </cell>
          <cell r="AZ568">
            <v>0</v>
          </cell>
          <cell r="BA568">
            <v>0</v>
          </cell>
          <cell r="BD568" t="str">
            <v/>
          </cell>
          <cell r="BE568">
            <v>1</v>
          </cell>
          <cell r="BG568" t="str">
            <v>1000</v>
          </cell>
        </row>
        <row r="569">
          <cell r="B569" t="str">
            <v>G102020106100200</v>
          </cell>
          <cell r="C569" t="str">
            <v>10.群馬県</v>
          </cell>
          <cell r="D569" t="str">
            <v>202</v>
          </cell>
          <cell r="E569" t="str">
            <v>高崎市</v>
          </cell>
          <cell r="F569" t="str">
            <v>01</v>
          </cell>
          <cell r="G569" t="str">
            <v>公共 単独</v>
          </cell>
          <cell r="H569" t="str">
            <v>公共下水道</v>
          </cell>
          <cell r="I569" t="str">
            <v>単独</v>
          </cell>
          <cell r="J569" t="str">
            <v>002</v>
          </cell>
          <cell r="K569" t="str">
            <v>阿久津水処理センター</v>
          </cell>
          <cell r="M569" t="str">
            <v>1</v>
          </cell>
          <cell r="N569" t="str">
            <v>1</v>
          </cell>
          <cell r="Q569">
            <v>29768</v>
          </cell>
          <cell r="R569" t="str">
            <v>昭和</v>
          </cell>
          <cell r="S569">
            <v>56</v>
          </cell>
          <cell r="T569">
            <v>7</v>
          </cell>
          <cell r="AB569">
            <v>148500</v>
          </cell>
          <cell r="AC569" t="str">
            <v>烏川下流</v>
          </cell>
          <cell r="AD569" t="str">
            <v>Ｂ</v>
          </cell>
          <cell r="AE569" t="str">
            <v>ロ</v>
          </cell>
          <cell r="AF569">
            <v>15</v>
          </cell>
          <cell r="AK569" t="str">
            <v>烏川</v>
          </cell>
          <cell r="AQ569" t="str">
            <v/>
          </cell>
          <cell r="AR569" t="str">
            <v>標準活性汚泥法</v>
          </cell>
          <cell r="AS569" t="str">
            <v>1020201002</v>
          </cell>
          <cell r="AT569" t="str">
            <v/>
          </cell>
          <cell r="AU569" t="str">
            <v>10</v>
          </cell>
          <cell r="AV569" t="str">
            <v>10</v>
          </cell>
          <cell r="AW569">
            <v>0</v>
          </cell>
          <cell r="AX569">
            <v>0</v>
          </cell>
          <cell r="AY569">
            <v>0</v>
          </cell>
          <cell r="AZ569">
            <v>0</v>
          </cell>
          <cell r="BA569">
            <v>0</v>
          </cell>
          <cell r="BD569" t="str">
            <v/>
          </cell>
          <cell r="BE569">
            <v>1</v>
          </cell>
          <cell r="BG569" t="str">
            <v>1100</v>
          </cell>
        </row>
        <row r="570">
          <cell r="B570" t="str">
            <v>G102020206100300</v>
          </cell>
          <cell r="C570" t="str">
            <v>10.群馬県</v>
          </cell>
          <cell r="D570" t="str">
            <v>202</v>
          </cell>
          <cell r="E570" t="str">
            <v>高崎市</v>
          </cell>
          <cell r="F570" t="str">
            <v>02</v>
          </cell>
          <cell r="G570" t="str">
            <v>特環 単独</v>
          </cell>
          <cell r="H570" t="str">
            <v>特定環境保全公共下水道</v>
          </cell>
          <cell r="I570" t="str">
            <v>単独</v>
          </cell>
          <cell r="J570" t="str">
            <v>003</v>
          </cell>
          <cell r="K570" t="str">
            <v>榛名湖水質管理センター</v>
          </cell>
          <cell r="M570" t="str">
            <v>1</v>
          </cell>
          <cell r="N570" t="str">
            <v>1</v>
          </cell>
          <cell r="Q570">
            <v>29677</v>
          </cell>
          <cell r="R570" t="str">
            <v>昭和</v>
          </cell>
          <cell r="S570">
            <v>56</v>
          </cell>
          <cell r="T570">
            <v>4</v>
          </cell>
          <cell r="AB570">
            <v>5331</v>
          </cell>
          <cell r="AC570" t="str">
            <v>烏川下流</v>
          </cell>
          <cell r="AD570" t="str">
            <v>Ｂ</v>
          </cell>
          <cell r="AE570" t="str">
            <v>ロ</v>
          </cell>
          <cell r="AF570">
            <v>15</v>
          </cell>
          <cell r="AK570" t="str">
            <v>榛名川</v>
          </cell>
          <cell r="AQ570" t="str">
            <v/>
          </cell>
          <cell r="AR570" t="str">
            <v>回転生物接触法</v>
          </cell>
          <cell r="AS570" t="str">
            <v>1020202003</v>
          </cell>
          <cell r="AT570" t="str">
            <v/>
          </cell>
          <cell r="AU570" t="str">
            <v>10</v>
          </cell>
          <cell r="AV570" t="str">
            <v>10</v>
          </cell>
          <cell r="AW570">
            <v>0</v>
          </cell>
          <cell r="AX570">
            <v>0</v>
          </cell>
          <cell r="AY570">
            <v>0</v>
          </cell>
          <cell r="AZ570">
            <v>0</v>
          </cell>
          <cell r="BA570">
            <v>0</v>
          </cell>
          <cell r="BD570" t="str">
            <v/>
          </cell>
          <cell r="BE570">
            <v>1</v>
          </cell>
          <cell r="BG570" t="str">
            <v>1100</v>
          </cell>
        </row>
        <row r="571">
          <cell r="B571" t="str">
            <v>G102030106100100</v>
          </cell>
          <cell r="C571" t="str">
            <v>10.群馬県</v>
          </cell>
          <cell r="D571" t="str">
            <v>203</v>
          </cell>
          <cell r="E571" t="str">
            <v>桐生市</v>
          </cell>
          <cell r="F571" t="str">
            <v>01</v>
          </cell>
          <cell r="G571" t="str">
            <v>公共 単独</v>
          </cell>
          <cell r="H571" t="str">
            <v>公共下水道</v>
          </cell>
          <cell r="I571" t="str">
            <v>単独</v>
          </cell>
          <cell r="J571" t="str">
            <v>001</v>
          </cell>
          <cell r="K571" t="str">
            <v>境野水処理センター</v>
          </cell>
          <cell r="M571" t="str">
            <v>1</v>
          </cell>
          <cell r="N571" t="str">
            <v>1</v>
          </cell>
          <cell r="Q571">
            <v>24624</v>
          </cell>
          <cell r="R571" t="str">
            <v>昭和</v>
          </cell>
          <cell r="S571">
            <v>42</v>
          </cell>
          <cell r="T571">
            <v>6</v>
          </cell>
          <cell r="AB571">
            <v>47498</v>
          </cell>
          <cell r="AC571" t="str">
            <v>渡良瀬川</v>
          </cell>
          <cell r="AD571" t="str">
            <v>Ａ</v>
          </cell>
          <cell r="AE571" t="str">
            <v>イ</v>
          </cell>
          <cell r="AF571">
            <v>15</v>
          </cell>
          <cell r="AK571" t="str">
            <v>渡良瀬川</v>
          </cell>
          <cell r="AL571" t="str">
            <v>赤岩用水取水</v>
          </cell>
          <cell r="AM571">
            <v>4</v>
          </cell>
          <cell r="AO571" t="str">
            <v>桐生市</v>
          </cell>
          <cell r="AQ571" t="str">
            <v/>
          </cell>
          <cell r="AR571" t="str">
            <v>標準活性汚泥法</v>
          </cell>
          <cell r="AS571" t="str">
            <v>1020301001</v>
          </cell>
          <cell r="AT571" t="str">
            <v/>
          </cell>
          <cell r="AU571" t="str">
            <v>10</v>
          </cell>
          <cell r="AV571" t="str">
            <v>10</v>
          </cell>
          <cell r="AW571">
            <v>0</v>
          </cell>
          <cell r="AX571">
            <v>0</v>
          </cell>
          <cell r="AY571">
            <v>0</v>
          </cell>
          <cell r="AZ571">
            <v>0</v>
          </cell>
          <cell r="BA571">
            <v>0</v>
          </cell>
          <cell r="BD571" t="str">
            <v/>
          </cell>
          <cell r="BE571">
            <v>1</v>
          </cell>
          <cell r="BG571" t="str">
            <v>1100</v>
          </cell>
        </row>
        <row r="572">
          <cell r="B572" t="str">
            <v>G102040106100100</v>
          </cell>
          <cell r="C572" t="str">
            <v>10.群馬県</v>
          </cell>
          <cell r="D572" t="str">
            <v>204</v>
          </cell>
          <cell r="E572" t="str">
            <v>伊勢崎市</v>
          </cell>
          <cell r="F572" t="str">
            <v>01</v>
          </cell>
          <cell r="G572" t="str">
            <v>公共 単独</v>
          </cell>
          <cell r="H572" t="str">
            <v>公共下水道</v>
          </cell>
          <cell r="I572" t="str">
            <v>単独</v>
          </cell>
          <cell r="J572" t="str">
            <v>001</v>
          </cell>
          <cell r="K572" t="str">
            <v>伊勢崎浄化センター</v>
          </cell>
          <cell r="M572" t="str">
            <v>1</v>
          </cell>
          <cell r="N572" t="str">
            <v>1</v>
          </cell>
          <cell r="O572" t="str">
            <v>1</v>
          </cell>
          <cell r="Q572">
            <v>28399</v>
          </cell>
          <cell r="R572" t="str">
            <v>昭和</v>
          </cell>
          <cell r="S572">
            <v>52</v>
          </cell>
          <cell r="T572">
            <v>10</v>
          </cell>
          <cell r="U572" t="str">
            <v>名称変更</v>
          </cell>
          <cell r="V572">
            <v>37865</v>
          </cell>
          <cell r="W572" t="str">
            <v>平成</v>
          </cell>
          <cell r="X572">
            <v>15</v>
          </cell>
          <cell r="Y572">
            <v>9</v>
          </cell>
          <cell r="Z572" t="str">
            <v>羽黒浄化センター</v>
          </cell>
          <cell r="AB572">
            <v>53300</v>
          </cell>
          <cell r="AC572" t="str">
            <v>広瀬川</v>
          </cell>
          <cell r="AD572" t="str">
            <v>Ｂ</v>
          </cell>
          <cell r="AE572" t="str">
            <v>ロ</v>
          </cell>
          <cell r="AF572">
            <v>15</v>
          </cell>
          <cell r="AK572" t="str">
            <v>広瀬川</v>
          </cell>
          <cell r="AQ572" t="str">
            <v/>
          </cell>
          <cell r="AR572" t="str">
            <v>標準活性汚泥法</v>
          </cell>
          <cell r="AS572" t="str">
            <v>1020401001</v>
          </cell>
          <cell r="AT572" t="str">
            <v/>
          </cell>
          <cell r="AU572" t="str">
            <v>11</v>
          </cell>
          <cell r="AV572" t="str">
            <v>11</v>
          </cell>
          <cell r="AW572">
            <v>0</v>
          </cell>
          <cell r="AX572">
            <v>0</v>
          </cell>
          <cell r="AY572">
            <v>0</v>
          </cell>
          <cell r="AZ572">
            <v>0</v>
          </cell>
          <cell r="BA572">
            <v>0</v>
          </cell>
          <cell r="BD572" t="str">
            <v/>
          </cell>
          <cell r="BE572">
            <v>1</v>
          </cell>
          <cell r="BG572" t="str">
            <v>1110</v>
          </cell>
        </row>
        <row r="573">
          <cell r="B573" t="str">
            <v>G102050106100100</v>
          </cell>
          <cell r="C573" t="str">
            <v>10.群馬県</v>
          </cell>
          <cell r="D573" t="str">
            <v>205</v>
          </cell>
          <cell r="E573" t="str">
            <v>太田市</v>
          </cell>
          <cell r="F573" t="str">
            <v>01</v>
          </cell>
          <cell r="G573" t="str">
            <v>公共 単独</v>
          </cell>
          <cell r="H573" t="str">
            <v>公共下水道</v>
          </cell>
          <cell r="I573" t="str">
            <v>単独</v>
          </cell>
          <cell r="J573" t="str">
            <v>001</v>
          </cell>
          <cell r="K573" t="str">
            <v>中央第一浄化センター</v>
          </cell>
          <cell r="M573" t="str">
            <v>1</v>
          </cell>
          <cell r="Q573">
            <v>26634</v>
          </cell>
          <cell r="R573" t="str">
            <v>昭和</v>
          </cell>
          <cell r="S573">
            <v>47</v>
          </cell>
          <cell r="T573">
            <v>12</v>
          </cell>
          <cell r="AB573">
            <v>18190</v>
          </cell>
          <cell r="AC573" t="str">
            <v>八瀬川</v>
          </cell>
          <cell r="AD573" t="str">
            <v>Ｂ</v>
          </cell>
          <cell r="AE573" t="str">
            <v>ロ</v>
          </cell>
          <cell r="AF573">
            <v>15</v>
          </cell>
          <cell r="AK573" t="str">
            <v>八瀬川</v>
          </cell>
          <cell r="AQ573" t="str">
            <v/>
          </cell>
          <cell r="AR573" t="str">
            <v>標準活性汚泥法</v>
          </cell>
          <cell r="AS573" t="str">
            <v>1020501001</v>
          </cell>
          <cell r="AT573" t="str">
            <v/>
          </cell>
          <cell r="AU573" t="str">
            <v>00</v>
          </cell>
          <cell r="AV573" t="str">
            <v>00</v>
          </cell>
          <cell r="AW573">
            <v>0</v>
          </cell>
          <cell r="AX573">
            <v>0</v>
          </cell>
          <cell r="AY573">
            <v>0</v>
          </cell>
          <cell r="AZ573">
            <v>0</v>
          </cell>
          <cell r="BA573">
            <v>0</v>
          </cell>
          <cell r="BD573" t="str">
            <v/>
          </cell>
          <cell r="BE573">
            <v>1</v>
          </cell>
          <cell r="BG573" t="str">
            <v>1000</v>
          </cell>
        </row>
        <row r="574">
          <cell r="B574" t="str">
            <v>G102050106100200</v>
          </cell>
          <cell r="C574" t="str">
            <v>10.群馬県</v>
          </cell>
          <cell r="D574" t="str">
            <v>205</v>
          </cell>
          <cell r="E574" t="str">
            <v>太田市</v>
          </cell>
          <cell r="F574" t="str">
            <v>01</v>
          </cell>
          <cell r="G574" t="str">
            <v>公共 単独</v>
          </cell>
          <cell r="H574" t="str">
            <v>公共下水道</v>
          </cell>
          <cell r="I574" t="str">
            <v>単独</v>
          </cell>
          <cell r="J574" t="str">
            <v>002</v>
          </cell>
          <cell r="K574" t="str">
            <v>中央第二浄化センター</v>
          </cell>
          <cell r="M574" t="str">
            <v>1</v>
          </cell>
          <cell r="N574" t="str">
            <v>1</v>
          </cell>
          <cell r="Q574">
            <v>33390</v>
          </cell>
          <cell r="R574" t="str">
            <v>平成</v>
          </cell>
          <cell r="S574">
            <v>3</v>
          </cell>
          <cell r="T574">
            <v>6</v>
          </cell>
          <cell r="AB574">
            <v>32000</v>
          </cell>
          <cell r="AC574" t="str">
            <v>石田川</v>
          </cell>
          <cell r="AD574" t="str">
            <v>Ｂ</v>
          </cell>
          <cell r="AE574" t="str">
            <v>ロ</v>
          </cell>
          <cell r="AF574">
            <v>15</v>
          </cell>
          <cell r="AK574" t="str">
            <v>石田川</v>
          </cell>
          <cell r="AQ574" t="str">
            <v/>
          </cell>
          <cell r="AR574" t="str">
            <v>標準活性汚泥法</v>
          </cell>
          <cell r="AS574" t="str">
            <v>1020501002</v>
          </cell>
          <cell r="AT574" t="str">
            <v/>
          </cell>
          <cell r="AU574" t="str">
            <v>10</v>
          </cell>
          <cell r="AV574" t="str">
            <v>10</v>
          </cell>
          <cell r="AW574">
            <v>0</v>
          </cell>
          <cell r="AX574">
            <v>0</v>
          </cell>
          <cell r="AY574">
            <v>0</v>
          </cell>
          <cell r="AZ574">
            <v>0</v>
          </cell>
          <cell r="BA574">
            <v>0</v>
          </cell>
          <cell r="BD574" t="str">
            <v/>
          </cell>
          <cell r="BE574">
            <v>1</v>
          </cell>
          <cell r="BG574" t="str">
            <v>1100</v>
          </cell>
        </row>
        <row r="575">
          <cell r="B575" t="str">
            <v>G102060206100100</v>
          </cell>
          <cell r="C575" t="str">
            <v>10.群馬県</v>
          </cell>
          <cell r="D575" t="str">
            <v>206</v>
          </cell>
          <cell r="E575" t="str">
            <v>沼田市</v>
          </cell>
          <cell r="F575" t="str">
            <v>02</v>
          </cell>
          <cell r="G575" t="str">
            <v>特環 単独</v>
          </cell>
          <cell r="H575" t="str">
            <v>特定環境保全公共下水道</v>
          </cell>
          <cell r="I575" t="str">
            <v>単独</v>
          </cell>
          <cell r="J575" t="str">
            <v>001</v>
          </cell>
          <cell r="K575" t="str">
            <v>白沢水質浄化センター</v>
          </cell>
          <cell r="M575" t="str">
            <v>1</v>
          </cell>
          <cell r="N575" t="str">
            <v>1</v>
          </cell>
          <cell r="Q575">
            <v>36617</v>
          </cell>
          <cell r="R575" t="str">
            <v>平成</v>
          </cell>
          <cell r="S575">
            <v>12</v>
          </cell>
          <cell r="T575">
            <v>4</v>
          </cell>
          <cell r="AB575">
            <v>12000</v>
          </cell>
          <cell r="AC575" t="str">
            <v>利根川</v>
          </cell>
          <cell r="AD575" t="str">
            <v>Ａ</v>
          </cell>
          <cell r="AE575" t="str">
            <v>イ</v>
          </cell>
          <cell r="AF575">
            <v>15</v>
          </cell>
          <cell r="AK575" t="str">
            <v>利根川</v>
          </cell>
          <cell r="AQ575" t="str">
            <v/>
          </cell>
          <cell r="AR575" t="str">
            <v>オキシディションディッチ法</v>
          </cell>
          <cell r="AS575" t="str">
            <v>1020602001</v>
          </cell>
          <cell r="AT575" t="str">
            <v/>
          </cell>
          <cell r="AU575" t="str">
            <v>10</v>
          </cell>
          <cell r="AV575" t="str">
            <v>10</v>
          </cell>
          <cell r="AW575">
            <v>0</v>
          </cell>
          <cell r="AX575">
            <v>0</v>
          </cell>
          <cell r="AY575">
            <v>0</v>
          </cell>
          <cell r="AZ575">
            <v>0</v>
          </cell>
          <cell r="BA575">
            <v>0</v>
          </cell>
          <cell r="BD575" t="str">
            <v/>
          </cell>
          <cell r="BE575">
            <v>1</v>
          </cell>
          <cell r="BG575" t="str">
            <v>1100</v>
          </cell>
        </row>
        <row r="576">
          <cell r="B576" t="str">
            <v>G102060206100200</v>
          </cell>
          <cell r="C576" t="str">
            <v>10.群馬県</v>
          </cell>
          <cell r="D576" t="str">
            <v>206</v>
          </cell>
          <cell r="E576" t="str">
            <v>沼田市</v>
          </cell>
          <cell r="F576" t="str">
            <v>02</v>
          </cell>
          <cell r="G576" t="str">
            <v>特環 単独</v>
          </cell>
          <cell r="H576" t="str">
            <v>特定環境保全公共下水道</v>
          </cell>
          <cell r="I576" t="str">
            <v>単独</v>
          </cell>
          <cell r="J576" t="str">
            <v>002</v>
          </cell>
          <cell r="K576" t="str">
            <v>利根水質浄化センター</v>
          </cell>
          <cell r="M576" t="str">
            <v>1</v>
          </cell>
          <cell r="N576" t="str">
            <v>1</v>
          </cell>
          <cell r="Q576">
            <v>37043</v>
          </cell>
          <cell r="R576" t="str">
            <v>平成</v>
          </cell>
          <cell r="S576">
            <v>13</v>
          </cell>
          <cell r="T576">
            <v>6</v>
          </cell>
          <cell r="AB576">
            <v>13700</v>
          </cell>
          <cell r="AC576" t="str">
            <v>片品川</v>
          </cell>
          <cell r="AD576" t="str">
            <v>Ａ</v>
          </cell>
          <cell r="AE576" t="str">
            <v>イ</v>
          </cell>
          <cell r="AF576">
            <v>15</v>
          </cell>
          <cell r="AG576">
            <v>10</v>
          </cell>
          <cell r="AK576" t="str">
            <v>片品川</v>
          </cell>
          <cell r="AQ576" t="str">
            <v/>
          </cell>
          <cell r="AR576" t="str">
            <v>オキシディションディッチ法</v>
          </cell>
          <cell r="AS576" t="str">
            <v>1020602002</v>
          </cell>
          <cell r="AT576" t="str">
            <v/>
          </cell>
          <cell r="AU576" t="str">
            <v>10</v>
          </cell>
          <cell r="AV576" t="str">
            <v>10</v>
          </cell>
          <cell r="AW576">
            <v>0</v>
          </cell>
          <cell r="AX576">
            <v>0</v>
          </cell>
          <cell r="AY576">
            <v>0</v>
          </cell>
          <cell r="AZ576">
            <v>0</v>
          </cell>
          <cell r="BA576">
            <v>0</v>
          </cell>
          <cell r="BD576" t="str">
            <v/>
          </cell>
          <cell r="BE576">
            <v>1</v>
          </cell>
          <cell r="BG576" t="str">
            <v>1100</v>
          </cell>
        </row>
        <row r="577">
          <cell r="B577" t="str">
            <v>G102070106100100</v>
          </cell>
          <cell r="C577" t="str">
            <v>10.群馬県</v>
          </cell>
          <cell r="D577" t="str">
            <v>207</v>
          </cell>
          <cell r="E577" t="str">
            <v>館林市</v>
          </cell>
          <cell r="F577" t="str">
            <v>01</v>
          </cell>
          <cell r="G577" t="str">
            <v>公共 単独</v>
          </cell>
          <cell r="H577" t="str">
            <v>公共下水道</v>
          </cell>
          <cell r="I577" t="str">
            <v>単独</v>
          </cell>
          <cell r="J577" t="str">
            <v>001</v>
          </cell>
          <cell r="K577" t="str">
            <v>館林市水質管理センター</v>
          </cell>
          <cell r="M577" t="str">
            <v>1</v>
          </cell>
          <cell r="N577" t="str">
            <v>1</v>
          </cell>
          <cell r="Q577">
            <v>27061</v>
          </cell>
          <cell r="R577" t="str">
            <v>昭和</v>
          </cell>
          <cell r="S577">
            <v>49</v>
          </cell>
          <cell r="T577">
            <v>2</v>
          </cell>
          <cell r="AB577">
            <v>48653</v>
          </cell>
          <cell r="AC577" t="str">
            <v>谷田川</v>
          </cell>
          <cell r="AD577" t="str">
            <v>Ｃ</v>
          </cell>
          <cell r="AE577" t="str">
            <v>ロ</v>
          </cell>
          <cell r="AF577">
            <v>15</v>
          </cell>
          <cell r="AK577" t="str">
            <v>谷田川</v>
          </cell>
          <cell r="AQ577" t="str">
            <v/>
          </cell>
          <cell r="AR577" t="str">
            <v>標準活性汚泥法</v>
          </cell>
          <cell r="AS577" t="str">
            <v>1020701001</v>
          </cell>
          <cell r="AT577" t="str">
            <v/>
          </cell>
          <cell r="AU577" t="str">
            <v>10</v>
          </cell>
          <cell r="AV577" t="str">
            <v>10</v>
          </cell>
          <cell r="AW577">
            <v>0</v>
          </cell>
          <cell r="AX577">
            <v>0</v>
          </cell>
          <cell r="AY577">
            <v>0</v>
          </cell>
          <cell r="AZ577">
            <v>0</v>
          </cell>
          <cell r="BA577">
            <v>0</v>
          </cell>
          <cell r="BD577" t="str">
            <v/>
          </cell>
          <cell r="BE577">
            <v>1</v>
          </cell>
          <cell r="BG577" t="str">
            <v>1100</v>
          </cell>
        </row>
        <row r="578">
          <cell r="B578" t="str">
            <v>G102070306100200</v>
          </cell>
          <cell r="C578" t="str">
            <v>10.群馬県</v>
          </cell>
          <cell r="D578" t="str">
            <v>207</v>
          </cell>
          <cell r="E578" t="str">
            <v>館林市</v>
          </cell>
          <cell r="F578" t="str">
            <v>03</v>
          </cell>
          <cell r="G578" t="str">
            <v>特定 単独</v>
          </cell>
          <cell r="H578" t="str">
            <v>特定公共下水道</v>
          </cell>
          <cell r="I578" t="str">
            <v>単独</v>
          </cell>
          <cell r="J578" t="str">
            <v>002</v>
          </cell>
          <cell r="K578" t="str">
            <v>近藤処理場</v>
          </cell>
          <cell r="M578" t="str">
            <v>1</v>
          </cell>
          <cell r="N578" t="str">
            <v>1</v>
          </cell>
          <cell r="Q578">
            <v>25447</v>
          </cell>
          <cell r="R578" t="str">
            <v>昭和</v>
          </cell>
          <cell r="S578">
            <v>44</v>
          </cell>
          <cell r="T578">
            <v>9</v>
          </cell>
          <cell r="AB578">
            <v>5700</v>
          </cell>
          <cell r="AI578" t="str">
            <v>近藤川</v>
          </cell>
          <cell r="AK578" t="str">
            <v>谷田川</v>
          </cell>
          <cell r="AQ578" t="str">
            <v/>
          </cell>
          <cell r="AR578" t="str">
            <v>沈殿法</v>
          </cell>
          <cell r="AS578" t="str">
            <v>1020703002</v>
          </cell>
          <cell r="AT578" t="str">
            <v/>
          </cell>
          <cell r="AU578" t="str">
            <v>10</v>
          </cell>
          <cell r="AV578" t="str">
            <v>10</v>
          </cell>
          <cell r="AW578">
            <v>0</v>
          </cell>
          <cell r="AX578">
            <v>0</v>
          </cell>
          <cell r="AY578">
            <v>0</v>
          </cell>
          <cell r="AZ578">
            <v>0</v>
          </cell>
          <cell r="BA578">
            <v>0</v>
          </cell>
          <cell r="BD578" t="str">
            <v/>
          </cell>
          <cell r="BE578">
            <v>1</v>
          </cell>
          <cell r="BG578" t="str">
            <v>1100</v>
          </cell>
        </row>
        <row r="579">
          <cell r="B579" t="str">
            <v>G102080106100100</v>
          </cell>
          <cell r="C579" t="str">
            <v>10.群馬県</v>
          </cell>
          <cell r="D579" t="str">
            <v>208</v>
          </cell>
          <cell r="E579" t="str">
            <v>渋川市</v>
          </cell>
          <cell r="F579" t="str">
            <v>01</v>
          </cell>
          <cell r="G579" t="str">
            <v>公共 単独</v>
          </cell>
          <cell r="H579" t="str">
            <v>公共下水道</v>
          </cell>
          <cell r="I579" t="str">
            <v>単独</v>
          </cell>
          <cell r="J579" t="str">
            <v>001</v>
          </cell>
          <cell r="K579" t="str">
            <v>物聞沢水質管理センター</v>
          </cell>
          <cell r="M579" t="str">
            <v>1</v>
          </cell>
          <cell r="P579" t="str">
            <v>1</v>
          </cell>
          <cell r="Q579">
            <v>24351</v>
          </cell>
          <cell r="R579" t="str">
            <v>昭和</v>
          </cell>
          <cell r="S579">
            <v>41</v>
          </cell>
          <cell r="T579">
            <v>9</v>
          </cell>
          <cell r="AB579">
            <v>6015</v>
          </cell>
          <cell r="AF579">
            <v>10</v>
          </cell>
          <cell r="AI579" t="str">
            <v>物聞沢</v>
          </cell>
          <cell r="AQ579" t="str">
            <v/>
          </cell>
          <cell r="AR579" t="str">
            <v>高速散水ろ床法</v>
          </cell>
          <cell r="AS579" t="str">
            <v>1020801001</v>
          </cell>
          <cell r="AT579" t="str">
            <v/>
          </cell>
          <cell r="AU579" t="str">
            <v>00</v>
          </cell>
          <cell r="AV579" t="str">
            <v>00</v>
          </cell>
          <cell r="AW579">
            <v>1</v>
          </cell>
          <cell r="AX579">
            <v>0</v>
          </cell>
          <cell r="AY579">
            <v>0</v>
          </cell>
          <cell r="AZ579">
            <v>0</v>
          </cell>
          <cell r="BA579">
            <v>0</v>
          </cell>
          <cell r="BD579" t="str">
            <v/>
          </cell>
          <cell r="BE579">
            <v>1</v>
          </cell>
          <cell r="BG579" t="str">
            <v>1001</v>
          </cell>
        </row>
        <row r="580">
          <cell r="B580" t="str">
            <v>G102080106100200</v>
          </cell>
          <cell r="C580" t="str">
            <v>10.群馬県</v>
          </cell>
          <cell r="D580" t="str">
            <v>208</v>
          </cell>
          <cell r="E580" t="str">
            <v>渋川市</v>
          </cell>
          <cell r="F580" t="str">
            <v>01</v>
          </cell>
          <cell r="G580" t="str">
            <v>公共 単独</v>
          </cell>
          <cell r="H580" t="str">
            <v>公共下水道</v>
          </cell>
          <cell r="I580" t="str">
            <v>単独</v>
          </cell>
          <cell r="J580" t="str">
            <v>002</v>
          </cell>
          <cell r="K580" t="str">
            <v>湯沢水質管理センター</v>
          </cell>
          <cell r="M580" t="str">
            <v>1</v>
          </cell>
          <cell r="N580" t="str">
            <v>1</v>
          </cell>
          <cell r="Q580">
            <v>27942</v>
          </cell>
          <cell r="R580" t="str">
            <v>昭和</v>
          </cell>
          <cell r="S580">
            <v>51</v>
          </cell>
          <cell r="T580">
            <v>7</v>
          </cell>
          <cell r="AB580">
            <v>9196</v>
          </cell>
          <cell r="AC580" t="str">
            <v>利根川上流３</v>
          </cell>
          <cell r="AD580" t="str">
            <v>Ａ</v>
          </cell>
          <cell r="AE580" t="str">
            <v>ロ</v>
          </cell>
          <cell r="AF580">
            <v>25</v>
          </cell>
          <cell r="AK580" t="str">
            <v>湯沢川</v>
          </cell>
          <cell r="AO580" t="str">
            <v>渋川市</v>
          </cell>
          <cell r="AQ580" t="str">
            <v/>
          </cell>
          <cell r="AR580" t="str">
            <v>高速散水ろ床法</v>
          </cell>
          <cell r="AS580" t="str">
            <v>1020801002</v>
          </cell>
          <cell r="AT580" t="str">
            <v/>
          </cell>
          <cell r="AU580" t="str">
            <v>10</v>
          </cell>
          <cell r="AV580" t="str">
            <v>10</v>
          </cell>
          <cell r="AW580">
            <v>0</v>
          </cell>
          <cell r="AX580">
            <v>0</v>
          </cell>
          <cell r="AY580">
            <v>0</v>
          </cell>
          <cell r="AZ580">
            <v>0</v>
          </cell>
          <cell r="BA580">
            <v>0</v>
          </cell>
          <cell r="BD580" t="str">
            <v/>
          </cell>
          <cell r="BE580">
            <v>1</v>
          </cell>
          <cell r="BG580" t="str">
            <v>1100</v>
          </cell>
        </row>
        <row r="581">
          <cell r="B581" t="str">
            <v>G102080206100300</v>
          </cell>
          <cell r="C581" t="str">
            <v>10.群馬県</v>
          </cell>
          <cell r="D581" t="str">
            <v>208</v>
          </cell>
          <cell r="E581" t="str">
            <v>渋川市</v>
          </cell>
          <cell r="F581" t="str">
            <v>02</v>
          </cell>
          <cell r="G581" t="str">
            <v>特環 単独</v>
          </cell>
          <cell r="H581" t="str">
            <v>特定環境保全公共下水道</v>
          </cell>
          <cell r="I581" t="str">
            <v>単独</v>
          </cell>
          <cell r="J581" t="str">
            <v>003</v>
          </cell>
          <cell r="K581" t="str">
            <v>水沢水質管理センター</v>
          </cell>
          <cell r="M581" t="str">
            <v>1</v>
          </cell>
          <cell r="N581" t="str">
            <v>1</v>
          </cell>
          <cell r="Q581">
            <v>34425</v>
          </cell>
          <cell r="R581" t="str">
            <v>平成</v>
          </cell>
          <cell r="S581">
            <v>6</v>
          </cell>
          <cell r="T581">
            <v>4</v>
          </cell>
          <cell r="AB581">
            <v>1205</v>
          </cell>
          <cell r="AC581" t="str">
            <v>利根川上流３</v>
          </cell>
          <cell r="AD581" t="str">
            <v>Ａ</v>
          </cell>
          <cell r="AE581" t="str">
            <v>ロ</v>
          </cell>
          <cell r="AF581">
            <v>20</v>
          </cell>
          <cell r="AK581" t="str">
            <v>唐沢川</v>
          </cell>
          <cell r="AO581" t="str">
            <v>渋川市</v>
          </cell>
          <cell r="AQ581" t="str">
            <v/>
          </cell>
          <cell r="AR581" t="str">
            <v>嫌気好気活性汚泥法</v>
          </cell>
          <cell r="AS581" t="str">
            <v>1020802003</v>
          </cell>
          <cell r="AT581" t="str">
            <v/>
          </cell>
          <cell r="AU581" t="str">
            <v>10</v>
          </cell>
          <cell r="AV581" t="str">
            <v>10</v>
          </cell>
          <cell r="AW581">
            <v>0</v>
          </cell>
          <cell r="AX581">
            <v>0</v>
          </cell>
          <cell r="AY581">
            <v>0</v>
          </cell>
          <cell r="AZ581">
            <v>0</v>
          </cell>
          <cell r="BA581">
            <v>0</v>
          </cell>
          <cell r="BD581" t="str">
            <v/>
          </cell>
          <cell r="BE581">
            <v>1</v>
          </cell>
          <cell r="BG581" t="str">
            <v>1100</v>
          </cell>
        </row>
        <row r="582">
          <cell r="B582" t="str">
            <v>G102080206100400</v>
          </cell>
          <cell r="C582" t="str">
            <v>10.群馬県</v>
          </cell>
          <cell r="D582" t="str">
            <v>208</v>
          </cell>
          <cell r="E582" t="str">
            <v>渋川市</v>
          </cell>
          <cell r="F582" t="str">
            <v>02</v>
          </cell>
          <cell r="G582" t="str">
            <v>特環 単独</v>
          </cell>
          <cell r="H582" t="str">
            <v>特定環境保全公共下水道</v>
          </cell>
          <cell r="I582" t="str">
            <v>単独</v>
          </cell>
          <cell r="J582" t="str">
            <v>004</v>
          </cell>
          <cell r="K582" t="str">
            <v>小野上浄化センター</v>
          </cell>
          <cell r="M582" t="str">
            <v>1</v>
          </cell>
          <cell r="N582" t="str">
            <v>1</v>
          </cell>
          <cell r="Q582">
            <v>36434</v>
          </cell>
          <cell r="R582" t="str">
            <v>平成</v>
          </cell>
          <cell r="S582">
            <v>11</v>
          </cell>
          <cell r="T582">
            <v>10</v>
          </cell>
          <cell r="AB582">
            <v>4154</v>
          </cell>
          <cell r="AC582" t="str">
            <v>吾妻川</v>
          </cell>
          <cell r="AD582" t="str">
            <v>Ａ</v>
          </cell>
          <cell r="AE582" t="str">
            <v>イ</v>
          </cell>
          <cell r="AF582">
            <v>20</v>
          </cell>
          <cell r="AK582" t="str">
            <v>吾妻川</v>
          </cell>
          <cell r="AQ582" t="str">
            <v/>
          </cell>
          <cell r="AR582" t="str">
            <v>土壌被覆型礫間接触法</v>
          </cell>
          <cell r="AS582" t="str">
            <v>1020802004</v>
          </cell>
          <cell r="AT582" t="str">
            <v/>
          </cell>
          <cell r="AU582" t="str">
            <v>10</v>
          </cell>
          <cell r="AV582" t="str">
            <v>10</v>
          </cell>
          <cell r="AW582">
            <v>0</v>
          </cell>
          <cell r="AX582">
            <v>0</v>
          </cell>
          <cell r="AY582">
            <v>0</v>
          </cell>
          <cell r="AZ582">
            <v>0</v>
          </cell>
          <cell r="BA582">
            <v>0</v>
          </cell>
          <cell r="BD582" t="str">
            <v/>
          </cell>
          <cell r="BE582">
            <v>1</v>
          </cell>
          <cell r="BG582" t="str">
            <v>1100</v>
          </cell>
        </row>
        <row r="583">
          <cell r="B583" t="str">
            <v>G102080206100500</v>
          </cell>
          <cell r="C583" t="str">
            <v>10.群馬県</v>
          </cell>
          <cell r="D583" t="str">
            <v>208</v>
          </cell>
          <cell r="E583" t="str">
            <v>渋川市</v>
          </cell>
          <cell r="F583" t="str">
            <v>02</v>
          </cell>
          <cell r="G583" t="str">
            <v>特環 単独</v>
          </cell>
          <cell r="H583" t="str">
            <v>特定環境保全公共下水道</v>
          </cell>
          <cell r="I583" t="str">
            <v>単独</v>
          </cell>
          <cell r="J583" t="str">
            <v>005</v>
          </cell>
          <cell r="K583" t="str">
            <v>鯉沢・吹屋原地区クリーンセンター</v>
          </cell>
          <cell r="M583" t="str">
            <v>1</v>
          </cell>
          <cell r="N583" t="str">
            <v>1</v>
          </cell>
          <cell r="Q583">
            <v>38384</v>
          </cell>
          <cell r="R583" t="str">
            <v>平成</v>
          </cell>
          <cell r="S583">
            <v>17</v>
          </cell>
          <cell r="T583">
            <v>2</v>
          </cell>
          <cell r="AB583">
            <v>5452</v>
          </cell>
          <cell r="AF583">
            <v>15</v>
          </cell>
          <cell r="AK583" t="str">
            <v>吾妻川</v>
          </cell>
          <cell r="AQ583" t="str">
            <v/>
          </cell>
          <cell r="AR583" t="str">
            <v>オキシディションディッチ法</v>
          </cell>
          <cell r="AS583" t="str">
            <v>1020802005</v>
          </cell>
          <cell r="AT583" t="str">
            <v/>
          </cell>
          <cell r="AU583" t="str">
            <v>10</v>
          </cell>
          <cell r="AV583" t="str">
            <v>10</v>
          </cell>
          <cell r="AW583">
            <v>0</v>
          </cell>
          <cell r="AX583">
            <v>0</v>
          </cell>
          <cell r="AY583">
            <v>0</v>
          </cell>
          <cell r="AZ583">
            <v>0</v>
          </cell>
          <cell r="BA583">
            <v>0</v>
          </cell>
          <cell r="BD583" t="str">
            <v/>
          </cell>
          <cell r="BE583">
            <v>1</v>
          </cell>
          <cell r="BG583" t="str">
            <v>1100</v>
          </cell>
        </row>
        <row r="584">
          <cell r="B584" t="str">
            <v>G104210106100100</v>
          </cell>
          <cell r="C584" t="str">
            <v>10.群馬県</v>
          </cell>
          <cell r="D584" t="str">
            <v>421</v>
          </cell>
          <cell r="E584" t="str">
            <v>中之条町</v>
          </cell>
          <cell r="F584" t="str">
            <v>01</v>
          </cell>
          <cell r="G584" t="str">
            <v>公共 単独</v>
          </cell>
          <cell r="H584" t="str">
            <v>公共下水道</v>
          </cell>
          <cell r="I584" t="str">
            <v>単独</v>
          </cell>
          <cell r="J584" t="str">
            <v>001</v>
          </cell>
          <cell r="K584" t="str">
            <v>中之条浄化センター</v>
          </cell>
          <cell r="M584" t="str">
            <v>1</v>
          </cell>
          <cell r="N584" t="str">
            <v>1</v>
          </cell>
          <cell r="Q584">
            <v>37749</v>
          </cell>
          <cell r="R584" t="str">
            <v>平成</v>
          </cell>
          <cell r="S584">
            <v>15</v>
          </cell>
          <cell r="T584">
            <v>5</v>
          </cell>
          <cell r="AB584">
            <v>24000</v>
          </cell>
          <cell r="AC584" t="str">
            <v>吾妻川下流</v>
          </cell>
          <cell r="AD584" t="str">
            <v>Ａ</v>
          </cell>
          <cell r="AE584" t="str">
            <v>イ</v>
          </cell>
          <cell r="AF584">
            <v>15</v>
          </cell>
          <cell r="AK584" t="str">
            <v>吾妻川</v>
          </cell>
          <cell r="AQ584" t="str">
            <v/>
          </cell>
          <cell r="AR584" t="str">
            <v>オキシディションディッチ法</v>
          </cell>
          <cell r="AS584" t="str">
            <v>1042101001</v>
          </cell>
          <cell r="AT584" t="str">
            <v/>
          </cell>
          <cell r="AU584" t="str">
            <v>10</v>
          </cell>
          <cell r="AV584" t="str">
            <v>10</v>
          </cell>
          <cell r="AW584">
            <v>0</v>
          </cell>
          <cell r="AX584">
            <v>0</v>
          </cell>
          <cell r="AY584">
            <v>0</v>
          </cell>
          <cell r="AZ584">
            <v>0</v>
          </cell>
          <cell r="BA584">
            <v>0</v>
          </cell>
          <cell r="BD584" t="str">
            <v/>
          </cell>
          <cell r="BE584">
            <v>1</v>
          </cell>
          <cell r="BG584" t="str">
            <v>1100</v>
          </cell>
        </row>
        <row r="585">
          <cell r="B585" t="str">
            <v>G104210206100200</v>
          </cell>
          <cell r="C585" t="str">
            <v>10.群馬県</v>
          </cell>
          <cell r="D585" t="str">
            <v>421</v>
          </cell>
          <cell r="E585" t="str">
            <v>中之条町</v>
          </cell>
          <cell r="F585" t="str">
            <v>02</v>
          </cell>
          <cell r="G585" t="str">
            <v>特環 単独</v>
          </cell>
          <cell r="H585" t="str">
            <v>特定環境保全公共下水道</v>
          </cell>
          <cell r="I585" t="str">
            <v>単独</v>
          </cell>
          <cell r="J585" t="str">
            <v>002</v>
          </cell>
          <cell r="K585" t="str">
            <v>四万水質管理センター</v>
          </cell>
          <cell r="M585" t="str">
            <v>1</v>
          </cell>
          <cell r="N585" t="str">
            <v>1</v>
          </cell>
          <cell r="Q585">
            <v>31472</v>
          </cell>
          <cell r="R585" t="str">
            <v>昭和</v>
          </cell>
          <cell r="S585">
            <v>61</v>
          </cell>
          <cell r="T585">
            <v>3</v>
          </cell>
          <cell r="AB585">
            <v>8307</v>
          </cell>
          <cell r="AC585" t="str">
            <v>吾妻川下流</v>
          </cell>
          <cell r="AD585" t="str">
            <v>Ａ</v>
          </cell>
          <cell r="AE585" t="str">
            <v>イ</v>
          </cell>
          <cell r="AF585">
            <v>15</v>
          </cell>
          <cell r="AK585" t="str">
            <v>四万川</v>
          </cell>
          <cell r="AL585" t="str">
            <v>四万水源</v>
          </cell>
          <cell r="AM585">
            <v>4.0999999999999996</v>
          </cell>
          <cell r="AO585" t="str">
            <v>中之条町</v>
          </cell>
          <cell r="AQ585" t="str">
            <v/>
          </cell>
          <cell r="AR585" t="str">
            <v>オキシディションディッチ法</v>
          </cell>
          <cell r="AS585" t="str">
            <v>1042102002</v>
          </cell>
          <cell r="AT585" t="str">
            <v/>
          </cell>
          <cell r="AU585" t="str">
            <v>10</v>
          </cell>
          <cell r="AV585" t="str">
            <v>10</v>
          </cell>
          <cell r="AW585">
            <v>0</v>
          </cell>
          <cell r="AX585">
            <v>0</v>
          </cell>
          <cell r="AY585">
            <v>0</v>
          </cell>
          <cell r="AZ585">
            <v>0</v>
          </cell>
          <cell r="BA585">
            <v>0</v>
          </cell>
          <cell r="BD585" t="str">
            <v/>
          </cell>
          <cell r="BE585">
            <v>1</v>
          </cell>
          <cell r="BG585" t="str">
            <v>1100</v>
          </cell>
        </row>
        <row r="586">
          <cell r="B586" t="str">
            <v>G104210206100300</v>
          </cell>
          <cell r="C586" t="str">
            <v>10.群馬県</v>
          </cell>
          <cell r="D586" t="str">
            <v>421</v>
          </cell>
          <cell r="E586" t="str">
            <v>中之条町</v>
          </cell>
          <cell r="F586" t="str">
            <v>02</v>
          </cell>
          <cell r="G586" t="str">
            <v>特環 単独</v>
          </cell>
          <cell r="H586" t="str">
            <v>特定環境保全公共下水道</v>
          </cell>
          <cell r="I586" t="str">
            <v>単独</v>
          </cell>
          <cell r="J586" t="str">
            <v>003</v>
          </cell>
          <cell r="K586" t="str">
            <v>沢渡水質管理センター</v>
          </cell>
          <cell r="M586" t="str">
            <v>1</v>
          </cell>
          <cell r="N586" t="str">
            <v>1</v>
          </cell>
          <cell r="Q586">
            <v>32203</v>
          </cell>
          <cell r="R586" t="str">
            <v>昭和</v>
          </cell>
          <cell r="S586">
            <v>63</v>
          </cell>
          <cell r="T586">
            <v>3</v>
          </cell>
          <cell r="AB586">
            <v>1837</v>
          </cell>
          <cell r="AC586" t="str">
            <v>吾妻川下流</v>
          </cell>
          <cell r="AD586" t="str">
            <v>Ａ</v>
          </cell>
          <cell r="AE586" t="str">
            <v>イ</v>
          </cell>
          <cell r="AF586">
            <v>15</v>
          </cell>
          <cell r="AK586" t="str">
            <v>上沢渡川</v>
          </cell>
          <cell r="AQ586" t="str">
            <v/>
          </cell>
          <cell r="AR586" t="str">
            <v>オキシディションディッチ法</v>
          </cell>
          <cell r="AS586" t="str">
            <v>1042102003</v>
          </cell>
          <cell r="AT586" t="str">
            <v/>
          </cell>
          <cell r="AU586" t="str">
            <v>10</v>
          </cell>
          <cell r="AV586" t="str">
            <v>10</v>
          </cell>
          <cell r="AW586">
            <v>0</v>
          </cell>
          <cell r="AX586">
            <v>0</v>
          </cell>
          <cell r="AY586">
            <v>0</v>
          </cell>
          <cell r="AZ586">
            <v>0</v>
          </cell>
          <cell r="BA586">
            <v>0</v>
          </cell>
          <cell r="BD586" t="str">
            <v/>
          </cell>
          <cell r="BE586">
            <v>1</v>
          </cell>
          <cell r="BG586" t="str">
            <v>1100</v>
          </cell>
        </row>
        <row r="587">
          <cell r="B587" t="str">
            <v>G104240206100100</v>
          </cell>
          <cell r="C587" t="str">
            <v>10.群馬県</v>
          </cell>
          <cell r="D587" t="str">
            <v>424</v>
          </cell>
          <cell r="E587" t="str">
            <v>長野原町</v>
          </cell>
          <cell r="F587" t="str">
            <v>02</v>
          </cell>
          <cell r="G587" t="str">
            <v>特環 単独</v>
          </cell>
          <cell r="H587" t="str">
            <v>特定環境保全公共下水道</v>
          </cell>
          <cell r="I587" t="str">
            <v>単独</v>
          </cell>
          <cell r="J587" t="str">
            <v>001</v>
          </cell>
          <cell r="K587" t="str">
            <v>長野原浄化センター</v>
          </cell>
          <cell r="M587" t="str">
            <v>1</v>
          </cell>
          <cell r="N587" t="str">
            <v>1</v>
          </cell>
          <cell r="Q587">
            <v>39539</v>
          </cell>
          <cell r="R587" t="str">
            <v>平成</v>
          </cell>
          <cell r="S587">
            <v>20</v>
          </cell>
          <cell r="T587">
            <v>4</v>
          </cell>
          <cell r="AB587">
            <v>11613</v>
          </cell>
          <cell r="AC587" t="str">
            <v>利根川流域</v>
          </cell>
          <cell r="AD587" t="str">
            <v>Ａ</v>
          </cell>
          <cell r="AE587" t="str">
            <v>イ</v>
          </cell>
          <cell r="AF587">
            <v>10</v>
          </cell>
          <cell r="AG587">
            <v>10</v>
          </cell>
          <cell r="AH587">
            <v>0.5</v>
          </cell>
          <cell r="AK587" t="str">
            <v>吾妻川</v>
          </cell>
          <cell r="AQ587" t="str">
            <v/>
          </cell>
          <cell r="AR587" t="str">
            <v>オキシディションディッチ法</v>
          </cell>
          <cell r="AS587" t="str">
            <v>1042402001</v>
          </cell>
          <cell r="AT587" t="str">
            <v/>
          </cell>
          <cell r="AU587" t="str">
            <v>10</v>
          </cell>
          <cell r="AV587" t="str">
            <v>10</v>
          </cell>
          <cell r="AW587">
            <v>0</v>
          </cell>
          <cell r="AX587">
            <v>0</v>
          </cell>
          <cell r="AY587">
            <v>0</v>
          </cell>
          <cell r="AZ587">
            <v>0</v>
          </cell>
          <cell r="BA587">
            <v>0</v>
          </cell>
          <cell r="BD587" t="str">
            <v/>
          </cell>
          <cell r="BE587">
            <v>1</v>
          </cell>
          <cell r="BG587" t="str">
            <v>1100</v>
          </cell>
        </row>
        <row r="588">
          <cell r="B588" t="str">
            <v>G104250206100100</v>
          </cell>
          <cell r="C588" t="str">
            <v>10.群馬県</v>
          </cell>
          <cell r="D588" t="str">
            <v>425</v>
          </cell>
          <cell r="E588" t="str">
            <v>嬬恋村</v>
          </cell>
          <cell r="F588" t="str">
            <v>02</v>
          </cell>
          <cell r="G588" t="str">
            <v>特環 単独</v>
          </cell>
          <cell r="H588" t="str">
            <v>特定環境保全公共下水道</v>
          </cell>
          <cell r="I588" t="str">
            <v>単独</v>
          </cell>
          <cell r="J588" t="str">
            <v>001</v>
          </cell>
          <cell r="K588" t="str">
            <v>嬬恋村水質浄化センター</v>
          </cell>
          <cell r="M588" t="str">
            <v>1</v>
          </cell>
          <cell r="N588" t="str">
            <v>1</v>
          </cell>
          <cell r="P588" t="str">
            <v>1</v>
          </cell>
          <cell r="Q588">
            <v>34790</v>
          </cell>
          <cell r="R588" t="str">
            <v>平成</v>
          </cell>
          <cell r="S588">
            <v>7</v>
          </cell>
          <cell r="T588">
            <v>4</v>
          </cell>
          <cell r="AB588">
            <v>11025</v>
          </cell>
          <cell r="AC588" t="str">
            <v>吾妻川</v>
          </cell>
          <cell r="AD588" t="str">
            <v>Ａ</v>
          </cell>
          <cell r="AE588" t="str">
            <v>イ</v>
          </cell>
          <cell r="AF588">
            <v>15</v>
          </cell>
          <cell r="AK588" t="str">
            <v>吾妻川</v>
          </cell>
          <cell r="AN588">
            <v>50</v>
          </cell>
          <cell r="AO588" t="str">
            <v>渋川市</v>
          </cell>
          <cell r="AQ588" t="str">
            <v/>
          </cell>
          <cell r="AR588" t="str">
            <v>オキシディションディッチ法</v>
          </cell>
          <cell r="AS588" t="str">
            <v>1042502001</v>
          </cell>
          <cell r="AT588" t="str">
            <v/>
          </cell>
          <cell r="AU588" t="str">
            <v>10</v>
          </cell>
          <cell r="AV588" t="str">
            <v>10</v>
          </cell>
          <cell r="AW588">
            <v>1</v>
          </cell>
          <cell r="AX588">
            <v>0</v>
          </cell>
          <cell r="AY588">
            <v>0</v>
          </cell>
          <cell r="AZ588">
            <v>0</v>
          </cell>
          <cell r="BA588">
            <v>0</v>
          </cell>
          <cell r="BD588" t="str">
            <v/>
          </cell>
          <cell r="BE588">
            <v>1</v>
          </cell>
          <cell r="BG588" t="str">
            <v>1101</v>
          </cell>
        </row>
        <row r="589">
          <cell r="B589" t="str">
            <v>G104260106100100</v>
          </cell>
          <cell r="C589" t="str">
            <v>10.群馬県</v>
          </cell>
          <cell r="D589" t="str">
            <v>426</v>
          </cell>
          <cell r="E589" t="str">
            <v>草津町</v>
          </cell>
          <cell r="F589" t="str">
            <v>01</v>
          </cell>
          <cell r="G589" t="str">
            <v>公共 単独</v>
          </cell>
          <cell r="H589" t="str">
            <v>公共下水道</v>
          </cell>
          <cell r="I589" t="str">
            <v>単独</v>
          </cell>
          <cell r="J589" t="str">
            <v>001</v>
          </cell>
          <cell r="K589" t="str">
            <v>草津下水処理場</v>
          </cell>
          <cell r="M589" t="str">
            <v>1</v>
          </cell>
          <cell r="N589" t="str">
            <v>1</v>
          </cell>
          <cell r="Q589">
            <v>28275</v>
          </cell>
          <cell r="R589" t="str">
            <v>昭和</v>
          </cell>
          <cell r="S589">
            <v>52</v>
          </cell>
          <cell r="T589">
            <v>5</v>
          </cell>
          <cell r="AB589">
            <v>15000</v>
          </cell>
          <cell r="AC589" t="str">
            <v>吾妻川上流</v>
          </cell>
          <cell r="AD589" t="str">
            <v>Ａ</v>
          </cell>
          <cell r="AE589" t="str">
            <v>イ</v>
          </cell>
          <cell r="AF589">
            <v>15</v>
          </cell>
          <cell r="AK589" t="str">
            <v>湯川</v>
          </cell>
          <cell r="AQ589" t="str">
            <v/>
          </cell>
          <cell r="AR589" t="str">
            <v>標準活性汚泥法</v>
          </cell>
          <cell r="AS589" t="str">
            <v>1042601001</v>
          </cell>
          <cell r="AT589" t="str">
            <v/>
          </cell>
          <cell r="AU589" t="str">
            <v>10</v>
          </cell>
          <cell r="AV589" t="str">
            <v>10</v>
          </cell>
          <cell r="AW589">
            <v>0</v>
          </cell>
          <cell r="AX589">
            <v>0</v>
          </cell>
          <cell r="AY589">
            <v>0</v>
          </cell>
          <cell r="AZ589">
            <v>0</v>
          </cell>
          <cell r="BA589">
            <v>0</v>
          </cell>
          <cell r="BD589" t="str">
            <v/>
          </cell>
          <cell r="BE589">
            <v>1</v>
          </cell>
          <cell r="BG589" t="str">
            <v>1100</v>
          </cell>
        </row>
        <row r="590">
          <cell r="B590" t="str">
            <v>G104290106100100</v>
          </cell>
          <cell r="C590" t="str">
            <v>10.群馬県</v>
          </cell>
          <cell r="D590" t="str">
            <v>429</v>
          </cell>
          <cell r="E590" t="str">
            <v>東吾妻町</v>
          </cell>
          <cell r="F590" t="str">
            <v>01</v>
          </cell>
          <cell r="G590" t="str">
            <v>公共 単独</v>
          </cell>
          <cell r="H590" t="str">
            <v>公共下水道</v>
          </cell>
          <cell r="I590" t="str">
            <v>単独</v>
          </cell>
          <cell r="J590" t="str">
            <v>001</v>
          </cell>
          <cell r="K590" t="str">
            <v>吾妻浄化センター</v>
          </cell>
          <cell r="M590" t="str">
            <v>1</v>
          </cell>
          <cell r="N590" t="str">
            <v>1</v>
          </cell>
          <cell r="Q590">
            <v>38047</v>
          </cell>
          <cell r="R590" t="str">
            <v>平成</v>
          </cell>
          <cell r="S590">
            <v>16</v>
          </cell>
          <cell r="T590">
            <v>3</v>
          </cell>
          <cell r="AB590">
            <v>14270</v>
          </cell>
          <cell r="AC590" t="str">
            <v>吾妻川水系</v>
          </cell>
          <cell r="AD590" t="str">
            <v>Ａ</v>
          </cell>
          <cell r="AE590" t="str">
            <v>イ</v>
          </cell>
          <cell r="AF590">
            <v>15</v>
          </cell>
          <cell r="AI590" t="str">
            <v>水路</v>
          </cell>
          <cell r="AK590" t="str">
            <v>吾妻川</v>
          </cell>
          <cell r="AN590">
            <v>35</v>
          </cell>
          <cell r="AO590" t="str">
            <v>前橋市</v>
          </cell>
          <cell r="AQ590" t="str">
            <v/>
          </cell>
          <cell r="AR590" t="str">
            <v>オキシディションディッチ法</v>
          </cell>
          <cell r="AS590" t="str">
            <v>1042901001</v>
          </cell>
          <cell r="AT590" t="str">
            <v/>
          </cell>
          <cell r="AU590" t="str">
            <v>10</v>
          </cell>
          <cell r="AV590" t="str">
            <v>10</v>
          </cell>
          <cell r="AW590">
            <v>0</v>
          </cell>
          <cell r="AX590">
            <v>0</v>
          </cell>
          <cell r="AY590">
            <v>0</v>
          </cell>
          <cell r="AZ590">
            <v>0</v>
          </cell>
          <cell r="BA590">
            <v>0</v>
          </cell>
          <cell r="BD590" t="str">
            <v/>
          </cell>
          <cell r="BE590">
            <v>1</v>
          </cell>
          <cell r="BG590" t="str">
            <v>1100</v>
          </cell>
        </row>
        <row r="591">
          <cell r="B591" t="str">
            <v>G104430206100100</v>
          </cell>
          <cell r="C591" t="str">
            <v>10.群馬県</v>
          </cell>
          <cell r="D591" t="str">
            <v>443</v>
          </cell>
          <cell r="E591" t="str">
            <v>片品村</v>
          </cell>
          <cell r="F591" t="str">
            <v>02</v>
          </cell>
          <cell r="G591" t="str">
            <v>特環 単独</v>
          </cell>
          <cell r="H591" t="str">
            <v>特定環境保全公共下水道</v>
          </cell>
          <cell r="I591" t="str">
            <v>単独</v>
          </cell>
          <cell r="J591" t="str">
            <v>001</v>
          </cell>
          <cell r="K591" t="str">
            <v>北部浄化センター</v>
          </cell>
          <cell r="M591" t="str">
            <v>1</v>
          </cell>
          <cell r="N591" t="str">
            <v>1</v>
          </cell>
          <cell r="Q591">
            <v>37104</v>
          </cell>
          <cell r="R591" t="str">
            <v>平成</v>
          </cell>
          <cell r="S591">
            <v>13</v>
          </cell>
          <cell r="T591">
            <v>8</v>
          </cell>
          <cell r="AB591">
            <v>16541</v>
          </cell>
          <cell r="AC591" t="str">
            <v>片品川下流</v>
          </cell>
          <cell r="AD591" t="str">
            <v>ＡＡ</v>
          </cell>
          <cell r="AF591">
            <v>15</v>
          </cell>
          <cell r="AK591" t="str">
            <v>片品川</v>
          </cell>
          <cell r="AQ591" t="str">
            <v/>
          </cell>
          <cell r="AR591" t="str">
            <v>オキシディションディッチ法</v>
          </cell>
          <cell r="AS591" t="str">
            <v>1044302001</v>
          </cell>
          <cell r="AT591" t="str">
            <v/>
          </cell>
          <cell r="AU591" t="str">
            <v>10</v>
          </cell>
          <cell r="AV591" t="str">
            <v>10</v>
          </cell>
          <cell r="AW591">
            <v>0</v>
          </cell>
          <cell r="AX591">
            <v>0</v>
          </cell>
          <cell r="AY591">
            <v>0</v>
          </cell>
          <cell r="AZ591">
            <v>0</v>
          </cell>
          <cell r="BA591">
            <v>0</v>
          </cell>
          <cell r="BD591" t="str">
            <v/>
          </cell>
          <cell r="BE591">
            <v>1</v>
          </cell>
          <cell r="BG591" t="str">
            <v>1100</v>
          </cell>
        </row>
        <row r="592">
          <cell r="B592" t="str">
            <v>G104440206100100</v>
          </cell>
          <cell r="C592" t="str">
            <v>10.群馬県</v>
          </cell>
          <cell r="D592" t="str">
            <v>444</v>
          </cell>
          <cell r="E592" t="str">
            <v>川場村</v>
          </cell>
          <cell r="F592" t="str">
            <v>02</v>
          </cell>
          <cell r="G592" t="str">
            <v>特環 単独</v>
          </cell>
          <cell r="H592" t="str">
            <v>特定環境保全公共下水道</v>
          </cell>
          <cell r="I592" t="str">
            <v>単独</v>
          </cell>
          <cell r="J592" t="str">
            <v>001</v>
          </cell>
          <cell r="K592" t="str">
            <v>川場浄化センター</v>
          </cell>
          <cell r="M592" t="str">
            <v>1</v>
          </cell>
          <cell r="N592" t="str">
            <v>1</v>
          </cell>
          <cell r="Q592">
            <v>35731</v>
          </cell>
          <cell r="R592" t="str">
            <v>平成</v>
          </cell>
          <cell r="S592">
            <v>9</v>
          </cell>
          <cell r="T592">
            <v>10</v>
          </cell>
          <cell r="AB592">
            <v>11300</v>
          </cell>
          <cell r="AC592" t="str">
            <v>利根川上流（2）</v>
          </cell>
          <cell r="AD592" t="str">
            <v>Ａ</v>
          </cell>
          <cell r="AE592" t="str">
            <v>イ</v>
          </cell>
          <cell r="AK592" t="str">
            <v>田沢川</v>
          </cell>
          <cell r="AL592" t="str">
            <v>群馬用水</v>
          </cell>
          <cell r="AQ592" t="str">
            <v/>
          </cell>
          <cell r="AR592" t="str">
            <v>オキシディションディッチ法</v>
          </cell>
          <cell r="AS592" t="str">
            <v>1044402001</v>
          </cell>
          <cell r="AT592" t="str">
            <v/>
          </cell>
          <cell r="AU592" t="str">
            <v>10</v>
          </cell>
          <cell r="AV592" t="str">
            <v>10</v>
          </cell>
          <cell r="AW592">
            <v>0</v>
          </cell>
          <cell r="AX592">
            <v>0</v>
          </cell>
          <cell r="AY592">
            <v>0</v>
          </cell>
          <cell r="AZ592">
            <v>0</v>
          </cell>
          <cell r="BA592">
            <v>0</v>
          </cell>
          <cell r="BD592" t="str">
            <v/>
          </cell>
          <cell r="BE592">
            <v>1</v>
          </cell>
          <cell r="BG592" t="str">
            <v>1100</v>
          </cell>
        </row>
        <row r="593">
          <cell r="B593" t="str">
            <v>G104490206100100</v>
          </cell>
          <cell r="C593" t="str">
            <v>10.群馬県</v>
          </cell>
          <cell r="D593" t="str">
            <v>449</v>
          </cell>
          <cell r="E593" t="str">
            <v>みなかみ町</v>
          </cell>
          <cell r="F593" t="str">
            <v>02</v>
          </cell>
          <cell r="G593" t="str">
            <v>特環 単独</v>
          </cell>
          <cell r="H593" t="str">
            <v>特定環境保全公共下水道</v>
          </cell>
          <cell r="I593" t="str">
            <v>単独</v>
          </cell>
          <cell r="J593" t="str">
            <v>001</v>
          </cell>
          <cell r="K593" t="str">
            <v>湯宿終末処理場</v>
          </cell>
          <cell r="M593" t="str">
            <v>1</v>
          </cell>
          <cell r="N593" t="str">
            <v>1</v>
          </cell>
          <cell r="Q593">
            <v>32264</v>
          </cell>
          <cell r="R593" t="str">
            <v>昭和</v>
          </cell>
          <cell r="S593">
            <v>63</v>
          </cell>
          <cell r="T593">
            <v>5</v>
          </cell>
          <cell r="AB593">
            <v>8365</v>
          </cell>
          <cell r="AC593" t="str">
            <v>赤谷川</v>
          </cell>
          <cell r="AD593" t="str">
            <v>Ａ</v>
          </cell>
          <cell r="AE593" t="str">
            <v>イ</v>
          </cell>
          <cell r="AF593">
            <v>15</v>
          </cell>
          <cell r="AK593" t="str">
            <v>赤谷川</v>
          </cell>
          <cell r="AL593" t="str">
            <v>川古取水堤</v>
          </cell>
          <cell r="AM593">
            <v>8.1999999999999993</v>
          </cell>
          <cell r="AO593" t="str">
            <v>みなかみ町</v>
          </cell>
          <cell r="AQ593" t="str">
            <v/>
          </cell>
          <cell r="AR593" t="str">
            <v>オキシディションディッチ法</v>
          </cell>
          <cell r="AS593" t="str">
            <v>1044902001</v>
          </cell>
          <cell r="AT593" t="str">
            <v/>
          </cell>
          <cell r="AU593" t="str">
            <v>10</v>
          </cell>
          <cell r="AV593" t="str">
            <v>10</v>
          </cell>
          <cell r="AW593">
            <v>0</v>
          </cell>
          <cell r="AX593">
            <v>0</v>
          </cell>
          <cell r="AY593">
            <v>0</v>
          </cell>
          <cell r="AZ593">
            <v>0</v>
          </cell>
          <cell r="BA593">
            <v>0</v>
          </cell>
          <cell r="BD593" t="str">
            <v/>
          </cell>
          <cell r="BE593">
            <v>1</v>
          </cell>
          <cell r="BG593" t="str">
            <v>1100</v>
          </cell>
        </row>
        <row r="594">
          <cell r="B594" t="str">
            <v>G105210106100100</v>
          </cell>
          <cell r="C594" t="str">
            <v>10.群馬県</v>
          </cell>
          <cell r="D594" t="str">
            <v>521</v>
          </cell>
          <cell r="E594" t="str">
            <v>板倉町</v>
          </cell>
          <cell r="F594" t="str">
            <v>01</v>
          </cell>
          <cell r="G594" t="str">
            <v>公共 単独</v>
          </cell>
          <cell r="H594" t="str">
            <v>公共下水道</v>
          </cell>
          <cell r="I594" t="str">
            <v>単独</v>
          </cell>
          <cell r="J594" t="str">
            <v>001</v>
          </cell>
          <cell r="K594" t="str">
            <v>板倉町水質浄化センター</v>
          </cell>
          <cell r="M594" t="str">
            <v>1</v>
          </cell>
          <cell r="N594" t="str">
            <v>1</v>
          </cell>
          <cell r="Q594">
            <v>35855</v>
          </cell>
          <cell r="R594" t="str">
            <v>平成</v>
          </cell>
          <cell r="S594">
            <v>10</v>
          </cell>
          <cell r="T594">
            <v>3</v>
          </cell>
          <cell r="AB594">
            <v>21037</v>
          </cell>
          <cell r="AF594">
            <v>15</v>
          </cell>
          <cell r="AK594" t="str">
            <v>板倉川</v>
          </cell>
          <cell r="AN594">
            <v>14.2</v>
          </cell>
          <cell r="AO594" t="str">
            <v>五霞町</v>
          </cell>
          <cell r="AQ594" t="str">
            <v/>
          </cell>
          <cell r="AR594" t="str">
            <v>標準活性汚泥法</v>
          </cell>
          <cell r="AS594" t="str">
            <v>1052101001</v>
          </cell>
          <cell r="AT594" t="str">
            <v/>
          </cell>
          <cell r="AU594" t="str">
            <v>10</v>
          </cell>
          <cell r="AV594" t="str">
            <v>10</v>
          </cell>
          <cell r="AW594">
            <v>0</v>
          </cell>
          <cell r="AX594">
            <v>0</v>
          </cell>
          <cell r="AY594">
            <v>0</v>
          </cell>
          <cell r="AZ594">
            <v>0</v>
          </cell>
          <cell r="BA594">
            <v>0</v>
          </cell>
          <cell r="BD594" t="str">
            <v/>
          </cell>
          <cell r="BE594">
            <v>1</v>
          </cell>
          <cell r="BG594" t="str">
            <v>1100</v>
          </cell>
        </row>
        <row r="595">
          <cell r="B595" t="str">
            <v>G105220106100100</v>
          </cell>
          <cell r="C595" t="str">
            <v>10.群馬県</v>
          </cell>
          <cell r="D595" t="str">
            <v>522</v>
          </cell>
          <cell r="E595" t="str">
            <v>明和町</v>
          </cell>
          <cell r="F595" t="str">
            <v>01</v>
          </cell>
          <cell r="G595" t="str">
            <v>公共 単独</v>
          </cell>
          <cell r="H595" t="str">
            <v>公共下水道</v>
          </cell>
          <cell r="I595" t="str">
            <v>単独</v>
          </cell>
          <cell r="J595" t="str">
            <v>001</v>
          </cell>
          <cell r="K595" t="str">
            <v>明和水質浄化センター</v>
          </cell>
          <cell r="M595" t="str">
            <v>1</v>
          </cell>
          <cell r="N595" t="str">
            <v>1</v>
          </cell>
          <cell r="Q595">
            <v>38078</v>
          </cell>
          <cell r="R595" t="str">
            <v>平成</v>
          </cell>
          <cell r="S595">
            <v>16</v>
          </cell>
          <cell r="T595">
            <v>4</v>
          </cell>
          <cell r="AB595">
            <v>15543</v>
          </cell>
          <cell r="AC595" t="str">
            <v>谷田川</v>
          </cell>
          <cell r="AD595" t="str">
            <v>Ｃ</v>
          </cell>
          <cell r="AE595" t="str">
            <v>ロ</v>
          </cell>
          <cell r="AF595">
            <v>10</v>
          </cell>
          <cell r="AK595" t="str">
            <v>谷田川</v>
          </cell>
          <cell r="AQ595" t="str">
            <v/>
          </cell>
          <cell r="AR595" t="str">
            <v>オキシディションディッチ法</v>
          </cell>
          <cell r="AS595" t="str">
            <v>1052201001</v>
          </cell>
          <cell r="AT595" t="str">
            <v/>
          </cell>
          <cell r="AU595" t="str">
            <v>10</v>
          </cell>
          <cell r="AV595" t="str">
            <v>10</v>
          </cell>
          <cell r="AW595">
            <v>0</v>
          </cell>
          <cell r="AX595">
            <v>0</v>
          </cell>
          <cell r="AY595">
            <v>0</v>
          </cell>
          <cell r="AZ595">
            <v>0</v>
          </cell>
          <cell r="BA595">
            <v>0</v>
          </cell>
          <cell r="BD595" t="str">
            <v/>
          </cell>
          <cell r="BE595">
            <v>1</v>
          </cell>
          <cell r="BG595" t="str">
            <v>1100</v>
          </cell>
        </row>
        <row r="596">
          <cell r="B596" t="str">
            <v>G110018106100100</v>
          </cell>
          <cell r="C596" t="str">
            <v>11.埼玉県</v>
          </cell>
          <cell r="D596" t="str">
            <v>001</v>
          </cell>
          <cell r="E596" t="str">
            <v>荒川左岸流域</v>
          </cell>
          <cell r="F596" t="str">
            <v>81</v>
          </cell>
          <cell r="G596" t="str">
            <v>流域</v>
          </cell>
          <cell r="H596" t="str">
            <v>流域下水道</v>
          </cell>
          <cell r="I596" t="str">
            <v/>
          </cell>
          <cell r="J596" t="str">
            <v>001</v>
          </cell>
          <cell r="K596" t="str">
            <v>荒川水循環センター</v>
          </cell>
          <cell r="M596" t="str">
            <v>1</v>
          </cell>
          <cell r="N596" t="str">
            <v>1</v>
          </cell>
          <cell r="Q596">
            <v>26573</v>
          </cell>
          <cell r="R596" t="str">
            <v>昭和</v>
          </cell>
          <cell r="S596">
            <v>47</v>
          </cell>
          <cell r="T596">
            <v>10</v>
          </cell>
          <cell r="AB596">
            <v>296245</v>
          </cell>
          <cell r="AC596" t="str">
            <v>荒川下流１</v>
          </cell>
          <cell r="AD596" t="str">
            <v>Ｃ</v>
          </cell>
          <cell r="AE596" t="str">
            <v>ハ</v>
          </cell>
          <cell r="AF596">
            <v>7</v>
          </cell>
          <cell r="AG596">
            <v>14</v>
          </cell>
          <cell r="AH596">
            <v>0.8</v>
          </cell>
          <cell r="AK596" t="str">
            <v>荒川</v>
          </cell>
          <cell r="AQ596" t="str">
            <v/>
          </cell>
          <cell r="AR596" t="str">
            <v>標準活性汚泥法</v>
          </cell>
          <cell r="AS596" t="str">
            <v>1100181001</v>
          </cell>
          <cell r="AT596" t="str">
            <v/>
          </cell>
          <cell r="AU596" t="str">
            <v>10</v>
          </cell>
          <cell r="AV596" t="str">
            <v>10</v>
          </cell>
          <cell r="AW596">
            <v>0</v>
          </cell>
          <cell r="AX596">
            <v>0</v>
          </cell>
          <cell r="AY596">
            <v>0</v>
          </cell>
          <cell r="AZ596">
            <v>0</v>
          </cell>
          <cell r="BA596">
            <v>0</v>
          </cell>
          <cell r="BD596" t="str">
            <v/>
          </cell>
          <cell r="BE596">
            <v>1</v>
          </cell>
          <cell r="BG596" t="str">
            <v>1100</v>
          </cell>
        </row>
        <row r="597">
          <cell r="B597" t="str">
            <v>G110018106100200</v>
          </cell>
          <cell r="C597" t="str">
            <v>11.埼玉県</v>
          </cell>
          <cell r="D597" t="str">
            <v>001</v>
          </cell>
          <cell r="E597" t="str">
            <v>荒川左岸流域</v>
          </cell>
          <cell r="F597" t="str">
            <v>81</v>
          </cell>
          <cell r="G597" t="str">
            <v>流域</v>
          </cell>
          <cell r="H597" t="str">
            <v>流域下水道</v>
          </cell>
          <cell r="I597" t="str">
            <v/>
          </cell>
          <cell r="J597" t="str">
            <v>002</v>
          </cell>
          <cell r="K597" t="str">
            <v>さいたま新都心浄化プラント</v>
          </cell>
          <cell r="M597" t="str">
            <v>1</v>
          </cell>
          <cell r="P597" t="str">
            <v>1</v>
          </cell>
          <cell r="Q597">
            <v>36617</v>
          </cell>
          <cell r="R597" t="str">
            <v>平成</v>
          </cell>
          <cell r="S597">
            <v>12</v>
          </cell>
          <cell r="T597">
            <v>4</v>
          </cell>
          <cell r="AB597">
            <v>2990</v>
          </cell>
          <cell r="AQ597" t="str">
            <v/>
          </cell>
          <cell r="AR597" t="str">
            <v>好気性ろ床法</v>
          </cell>
          <cell r="AS597" t="str">
            <v>1100181002</v>
          </cell>
          <cell r="AT597">
            <v>1</v>
          </cell>
          <cell r="AU597" t="str">
            <v>00</v>
          </cell>
          <cell r="AV597" t="str">
            <v>00</v>
          </cell>
          <cell r="AW597">
            <v>1</v>
          </cell>
          <cell r="AX597">
            <v>0</v>
          </cell>
          <cell r="AY597">
            <v>0</v>
          </cell>
          <cell r="AZ597">
            <v>0</v>
          </cell>
          <cell r="BA597">
            <v>0</v>
          </cell>
          <cell r="BD597" t="str">
            <v/>
          </cell>
          <cell r="BE597">
            <v>1</v>
          </cell>
          <cell r="BG597" t="str">
            <v>1001</v>
          </cell>
        </row>
        <row r="598">
          <cell r="B598" t="str">
            <v>G110018106100300</v>
          </cell>
          <cell r="C598" t="str">
            <v>11.埼玉県</v>
          </cell>
          <cell r="D598" t="str">
            <v>001</v>
          </cell>
          <cell r="E598" t="str">
            <v>荒川左岸流域</v>
          </cell>
          <cell r="F598" t="str">
            <v>81</v>
          </cell>
          <cell r="G598" t="str">
            <v>流域</v>
          </cell>
          <cell r="H598" t="str">
            <v>流域下水道</v>
          </cell>
          <cell r="I598" t="str">
            <v/>
          </cell>
          <cell r="J598" t="str">
            <v>003</v>
          </cell>
          <cell r="K598" t="str">
            <v>元荒川水循環センター</v>
          </cell>
          <cell r="M598" t="str">
            <v>1</v>
          </cell>
          <cell r="N598" t="str">
            <v>1</v>
          </cell>
          <cell r="Q598">
            <v>29677</v>
          </cell>
          <cell r="R598" t="str">
            <v>昭和</v>
          </cell>
          <cell r="S598">
            <v>56</v>
          </cell>
          <cell r="T598">
            <v>4</v>
          </cell>
          <cell r="AB598">
            <v>168862</v>
          </cell>
          <cell r="AC598" t="str">
            <v>元荒川</v>
          </cell>
          <cell r="AD598" t="str">
            <v>Ｃ</v>
          </cell>
          <cell r="AE598" t="str">
            <v>ハ</v>
          </cell>
          <cell r="AF598">
            <v>10</v>
          </cell>
          <cell r="AG598">
            <v>14</v>
          </cell>
          <cell r="AH598">
            <v>0.8</v>
          </cell>
          <cell r="AK598" t="str">
            <v>元荒川</v>
          </cell>
          <cell r="AQ598" t="str">
            <v/>
          </cell>
          <cell r="AR598" t="str">
            <v>標準活性汚泥法</v>
          </cell>
          <cell r="AS598" t="str">
            <v>1100181003</v>
          </cell>
          <cell r="AT598" t="str">
            <v/>
          </cell>
          <cell r="AU598" t="str">
            <v>10</v>
          </cell>
          <cell r="AV598" t="str">
            <v>10</v>
          </cell>
          <cell r="AW598">
            <v>0</v>
          </cell>
          <cell r="AX598">
            <v>0</v>
          </cell>
          <cell r="AY598">
            <v>0</v>
          </cell>
          <cell r="AZ598">
            <v>0</v>
          </cell>
          <cell r="BA598">
            <v>0</v>
          </cell>
          <cell r="BD598" t="str">
            <v/>
          </cell>
          <cell r="BE598">
            <v>1</v>
          </cell>
          <cell r="BG598" t="str">
            <v>1100</v>
          </cell>
        </row>
        <row r="599">
          <cell r="B599" t="str">
            <v>G110038106100100</v>
          </cell>
          <cell r="C599" t="str">
            <v>11.埼玉県</v>
          </cell>
          <cell r="D599" t="str">
            <v>003</v>
          </cell>
          <cell r="E599" t="str">
            <v>荒川右岸流域</v>
          </cell>
          <cell r="F599" t="str">
            <v>81</v>
          </cell>
          <cell r="G599" t="str">
            <v>流域</v>
          </cell>
          <cell r="H599" t="str">
            <v>流域下水道</v>
          </cell>
          <cell r="I599" t="str">
            <v/>
          </cell>
          <cell r="J599" t="str">
            <v>001</v>
          </cell>
          <cell r="K599" t="str">
            <v>新河岸川水循環センター</v>
          </cell>
          <cell r="M599" t="str">
            <v>1</v>
          </cell>
          <cell r="N599" t="str">
            <v>1</v>
          </cell>
          <cell r="Q599">
            <v>29677</v>
          </cell>
          <cell r="R599" t="str">
            <v>昭和</v>
          </cell>
          <cell r="S599">
            <v>56</v>
          </cell>
          <cell r="T599">
            <v>4</v>
          </cell>
          <cell r="AB599">
            <v>351559</v>
          </cell>
          <cell r="AC599" t="str">
            <v>新河岸川</v>
          </cell>
          <cell r="AD599" t="str">
            <v>Ｄ</v>
          </cell>
          <cell r="AE599" t="str">
            <v>イ</v>
          </cell>
          <cell r="AF599">
            <v>15</v>
          </cell>
          <cell r="AK599" t="str">
            <v>新河岸川</v>
          </cell>
          <cell r="AQ599" t="str">
            <v/>
          </cell>
          <cell r="AR599" t="str">
            <v>標準活性汚泥法</v>
          </cell>
          <cell r="AS599" t="str">
            <v>1100381001</v>
          </cell>
          <cell r="AT599" t="str">
            <v/>
          </cell>
          <cell r="AU599" t="str">
            <v>10</v>
          </cell>
          <cell r="AV599" t="str">
            <v>10</v>
          </cell>
          <cell r="AW599">
            <v>0</v>
          </cell>
          <cell r="AX599">
            <v>0</v>
          </cell>
          <cell r="AY599">
            <v>0</v>
          </cell>
          <cell r="AZ599">
            <v>0</v>
          </cell>
          <cell r="BA599">
            <v>0</v>
          </cell>
          <cell r="BD599" t="str">
            <v/>
          </cell>
          <cell r="BE599">
            <v>1</v>
          </cell>
          <cell r="BG599" t="str">
            <v>1100</v>
          </cell>
        </row>
        <row r="600">
          <cell r="B600" t="str">
            <v>G110038106100200</v>
          </cell>
          <cell r="C600" t="str">
            <v>11.埼玉県</v>
          </cell>
          <cell r="D600" t="str">
            <v>003</v>
          </cell>
          <cell r="E600" t="str">
            <v>荒川右岸流域</v>
          </cell>
          <cell r="F600" t="str">
            <v>81</v>
          </cell>
          <cell r="G600" t="str">
            <v>流域</v>
          </cell>
          <cell r="H600" t="str">
            <v>流域下水道</v>
          </cell>
          <cell r="I600" t="str">
            <v/>
          </cell>
          <cell r="J600" t="str">
            <v>002</v>
          </cell>
          <cell r="K600" t="str">
            <v>新河岸川上流水循環センター</v>
          </cell>
          <cell r="M600" t="str">
            <v>1</v>
          </cell>
          <cell r="P600" t="str">
            <v>1</v>
          </cell>
          <cell r="Q600">
            <v>23712</v>
          </cell>
          <cell r="R600" t="str">
            <v>昭和</v>
          </cell>
          <cell r="S600">
            <v>39</v>
          </cell>
          <cell r="T600">
            <v>12</v>
          </cell>
          <cell r="AB600">
            <v>51765</v>
          </cell>
          <cell r="AC600" t="str">
            <v>新河岸川、不老川</v>
          </cell>
          <cell r="AD600" t="str">
            <v>Ｄ、Ｄ</v>
          </cell>
          <cell r="AE600" t="str">
            <v>イ、ハ</v>
          </cell>
          <cell r="AF600">
            <v>15</v>
          </cell>
          <cell r="AK600" t="str">
            <v>新河岸川、不老川</v>
          </cell>
          <cell r="AQ600" t="str">
            <v/>
          </cell>
          <cell r="AR600" t="str">
            <v>循環式硝化脱窒法</v>
          </cell>
          <cell r="AS600" t="str">
            <v>1100381002</v>
          </cell>
          <cell r="AT600" t="str">
            <v/>
          </cell>
          <cell r="AU600" t="str">
            <v>00</v>
          </cell>
          <cell r="AV600" t="str">
            <v>00</v>
          </cell>
          <cell r="AW600">
            <v>1</v>
          </cell>
          <cell r="AX600">
            <v>0</v>
          </cell>
          <cell r="AY600">
            <v>0</v>
          </cell>
          <cell r="AZ600">
            <v>0</v>
          </cell>
          <cell r="BA600">
            <v>0</v>
          </cell>
          <cell r="BD600" t="str">
            <v/>
          </cell>
          <cell r="BE600">
            <v>1</v>
          </cell>
          <cell r="BG600" t="str">
            <v>1001</v>
          </cell>
        </row>
        <row r="601">
          <cell r="B601" t="str">
            <v>G110048106100100</v>
          </cell>
          <cell r="C601" t="str">
            <v>11.埼玉県</v>
          </cell>
          <cell r="D601" t="str">
            <v>004</v>
          </cell>
          <cell r="E601" t="str">
            <v>中川流域</v>
          </cell>
          <cell r="F601" t="str">
            <v>81</v>
          </cell>
          <cell r="G601" t="str">
            <v>流域</v>
          </cell>
          <cell r="H601" t="str">
            <v>流域下水道</v>
          </cell>
          <cell r="I601" t="str">
            <v/>
          </cell>
          <cell r="J601" t="str">
            <v>001</v>
          </cell>
          <cell r="K601" t="str">
            <v>中川水循環センター</v>
          </cell>
          <cell r="M601" t="str">
            <v>1</v>
          </cell>
          <cell r="N601" t="str">
            <v>1</v>
          </cell>
          <cell r="P601" t="str">
            <v>1</v>
          </cell>
          <cell r="Q601">
            <v>30407</v>
          </cell>
          <cell r="R601" t="str">
            <v>昭和</v>
          </cell>
          <cell r="S601">
            <v>58</v>
          </cell>
          <cell r="T601">
            <v>4</v>
          </cell>
          <cell r="AB601">
            <v>597000</v>
          </cell>
          <cell r="AC601" t="str">
            <v>中川中流</v>
          </cell>
          <cell r="AD601" t="str">
            <v>Ｃ</v>
          </cell>
          <cell r="AE601" t="str">
            <v>ハ</v>
          </cell>
          <cell r="AF601">
            <v>10</v>
          </cell>
          <cell r="AG601">
            <v>17</v>
          </cell>
          <cell r="AH601">
            <v>0.9</v>
          </cell>
          <cell r="AK601" t="str">
            <v>中川</v>
          </cell>
          <cell r="AQ601" t="str">
            <v/>
          </cell>
          <cell r="AR601" t="str">
            <v>標準活性汚泥法</v>
          </cell>
          <cell r="AS601" t="str">
            <v>1100481001</v>
          </cell>
          <cell r="AT601" t="str">
            <v/>
          </cell>
          <cell r="AU601" t="str">
            <v>10</v>
          </cell>
          <cell r="AV601" t="str">
            <v>10</v>
          </cell>
          <cell r="AW601">
            <v>1</v>
          </cell>
          <cell r="AX601">
            <v>0</v>
          </cell>
          <cell r="AY601">
            <v>0</v>
          </cell>
          <cell r="AZ601">
            <v>0</v>
          </cell>
          <cell r="BA601">
            <v>0</v>
          </cell>
          <cell r="BD601" t="str">
            <v/>
          </cell>
          <cell r="BE601">
            <v>1</v>
          </cell>
          <cell r="BG601" t="str">
            <v>1101</v>
          </cell>
        </row>
        <row r="602">
          <cell r="B602" t="str">
            <v>G110058106100100</v>
          </cell>
          <cell r="C602" t="str">
            <v>11.埼玉県</v>
          </cell>
          <cell r="D602" t="str">
            <v>005</v>
          </cell>
          <cell r="E602" t="str">
            <v>古利根川流域</v>
          </cell>
          <cell r="F602" t="str">
            <v>81</v>
          </cell>
          <cell r="G602" t="str">
            <v>流域</v>
          </cell>
          <cell r="H602" t="str">
            <v>流域下水道</v>
          </cell>
          <cell r="I602" t="str">
            <v/>
          </cell>
          <cell r="J602" t="str">
            <v>001</v>
          </cell>
          <cell r="K602" t="str">
            <v>古利根川水循環センター</v>
          </cell>
          <cell r="M602" t="str">
            <v>1</v>
          </cell>
          <cell r="N602" t="str">
            <v>1</v>
          </cell>
          <cell r="Q602">
            <v>27211</v>
          </cell>
          <cell r="R602" t="str">
            <v>昭和</v>
          </cell>
          <cell r="S602">
            <v>49</v>
          </cell>
          <cell r="T602">
            <v>7</v>
          </cell>
          <cell r="AB602">
            <v>137600</v>
          </cell>
          <cell r="AC602" t="str">
            <v>大落古利根川</v>
          </cell>
          <cell r="AD602" t="str">
            <v>Ｃ</v>
          </cell>
          <cell r="AE602" t="str">
            <v>ハ</v>
          </cell>
          <cell r="AF602">
            <v>10</v>
          </cell>
          <cell r="AG602">
            <v>17</v>
          </cell>
          <cell r="AH602">
            <v>1.1000000000000001</v>
          </cell>
          <cell r="AI602" t="str">
            <v>中落堀川</v>
          </cell>
          <cell r="AQ602" t="str">
            <v/>
          </cell>
          <cell r="AR602" t="str">
            <v>標準活性汚泥法</v>
          </cell>
          <cell r="AS602" t="str">
            <v>1100581001</v>
          </cell>
          <cell r="AT602" t="str">
            <v/>
          </cell>
          <cell r="AU602" t="str">
            <v>10</v>
          </cell>
          <cell r="AV602" t="str">
            <v>10</v>
          </cell>
          <cell r="AW602">
            <v>0</v>
          </cell>
          <cell r="AX602">
            <v>0</v>
          </cell>
          <cell r="AY602">
            <v>0</v>
          </cell>
          <cell r="AZ602">
            <v>0</v>
          </cell>
          <cell r="BA602">
            <v>0</v>
          </cell>
          <cell r="BD602" t="str">
            <v/>
          </cell>
          <cell r="BE602">
            <v>1</v>
          </cell>
          <cell r="BG602" t="str">
            <v>1100</v>
          </cell>
        </row>
        <row r="603">
          <cell r="B603" t="str">
            <v>G110068106100100</v>
          </cell>
          <cell r="C603" t="str">
            <v>11.埼玉県</v>
          </cell>
          <cell r="D603" t="str">
            <v>006</v>
          </cell>
          <cell r="E603" t="str">
            <v>荒川上流流域</v>
          </cell>
          <cell r="F603" t="str">
            <v>81</v>
          </cell>
          <cell r="G603" t="str">
            <v>流域</v>
          </cell>
          <cell r="H603" t="str">
            <v>流域下水道</v>
          </cell>
          <cell r="I603" t="str">
            <v/>
          </cell>
          <cell r="J603" t="str">
            <v>001</v>
          </cell>
          <cell r="K603" t="str">
            <v>荒川上流水循環センター</v>
          </cell>
          <cell r="M603" t="str">
            <v>1</v>
          </cell>
          <cell r="N603" t="str">
            <v>1</v>
          </cell>
          <cell r="Q603">
            <v>33695</v>
          </cell>
          <cell r="R603" t="str">
            <v>平成</v>
          </cell>
          <cell r="S603">
            <v>4</v>
          </cell>
          <cell r="T603">
            <v>4</v>
          </cell>
          <cell r="AB603">
            <v>49397</v>
          </cell>
          <cell r="AC603" t="str">
            <v>荒川上流</v>
          </cell>
          <cell r="AD603" t="str">
            <v>Ａ</v>
          </cell>
          <cell r="AE603" t="str">
            <v>イ</v>
          </cell>
          <cell r="AF603">
            <v>10</v>
          </cell>
          <cell r="AG603">
            <v>9.6999999999999993</v>
          </cell>
          <cell r="AH603">
            <v>0.4</v>
          </cell>
          <cell r="AK603" t="str">
            <v>荒川</v>
          </cell>
          <cell r="AL603" t="str">
            <v>深谷市浄水場</v>
          </cell>
          <cell r="AM603">
            <v>2.1</v>
          </cell>
          <cell r="AO603" t="str">
            <v>深谷市</v>
          </cell>
          <cell r="AQ603" t="str">
            <v/>
          </cell>
          <cell r="AR603" t="str">
            <v>オキシディションディッチ法</v>
          </cell>
          <cell r="AS603" t="str">
            <v>1100681001</v>
          </cell>
          <cell r="AT603" t="str">
            <v/>
          </cell>
          <cell r="AU603" t="str">
            <v>10</v>
          </cell>
          <cell r="AV603" t="str">
            <v>10</v>
          </cell>
          <cell r="AW603">
            <v>0</v>
          </cell>
          <cell r="AX603">
            <v>0</v>
          </cell>
          <cell r="AY603">
            <v>0</v>
          </cell>
          <cell r="AZ603">
            <v>0</v>
          </cell>
          <cell r="BA603">
            <v>0</v>
          </cell>
          <cell r="BD603" t="str">
            <v/>
          </cell>
          <cell r="BE603">
            <v>1</v>
          </cell>
          <cell r="BG603" t="str">
            <v>1100</v>
          </cell>
        </row>
        <row r="604">
          <cell r="B604" t="str">
            <v>G110078106100100</v>
          </cell>
          <cell r="C604" t="str">
            <v>11.埼玉県</v>
          </cell>
          <cell r="D604" t="str">
            <v>007</v>
          </cell>
          <cell r="E604" t="str">
            <v>市野川流域</v>
          </cell>
          <cell r="F604" t="str">
            <v>81</v>
          </cell>
          <cell r="G604" t="str">
            <v>流域</v>
          </cell>
          <cell r="H604" t="str">
            <v>流域下水道</v>
          </cell>
          <cell r="I604" t="str">
            <v/>
          </cell>
          <cell r="J604" t="str">
            <v>001</v>
          </cell>
          <cell r="K604" t="str">
            <v>市野川水循環センター</v>
          </cell>
          <cell r="M604" t="str">
            <v>1</v>
          </cell>
          <cell r="N604" t="str">
            <v>1</v>
          </cell>
          <cell r="Q604">
            <v>34425</v>
          </cell>
          <cell r="R604" t="str">
            <v>平成</v>
          </cell>
          <cell r="S604">
            <v>6</v>
          </cell>
          <cell r="T604">
            <v>4</v>
          </cell>
          <cell r="AB604">
            <v>58198</v>
          </cell>
          <cell r="AC604" t="str">
            <v>市野川上流</v>
          </cell>
          <cell r="AD604" t="str">
            <v>Ｂ</v>
          </cell>
          <cell r="AE604" t="str">
            <v>ロ</v>
          </cell>
          <cell r="AF604">
            <v>10</v>
          </cell>
          <cell r="AG604">
            <v>20</v>
          </cell>
          <cell r="AH604">
            <v>1.5</v>
          </cell>
          <cell r="AK604" t="str">
            <v>市野川</v>
          </cell>
          <cell r="AQ604" t="str">
            <v/>
          </cell>
          <cell r="AR604" t="str">
            <v>オキシディションディッチ法</v>
          </cell>
          <cell r="AS604" t="str">
            <v>1100781001</v>
          </cell>
          <cell r="AT604" t="str">
            <v/>
          </cell>
          <cell r="AU604" t="str">
            <v>10</v>
          </cell>
          <cell r="AV604" t="str">
            <v>10</v>
          </cell>
          <cell r="AW604">
            <v>0</v>
          </cell>
          <cell r="AX604">
            <v>0</v>
          </cell>
          <cell r="AY604">
            <v>0</v>
          </cell>
          <cell r="AZ604">
            <v>0</v>
          </cell>
          <cell r="BA604">
            <v>0</v>
          </cell>
          <cell r="BD604" t="str">
            <v/>
          </cell>
          <cell r="BE604">
            <v>1</v>
          </cell>
          <cell r="BG604" t="str">
            <v>1100</v>
          </cell>
        </row>
        <row r="605">
          <cell r="B605" t="str">
            <v>G110088106100100</v>
          </cell>
          <cell r="C605" t="str">
            <v>11.埼玉県</v>
          </cell>
          <cell r="D605" t="str">
            <v>008</v>
          </cell>
          <cell r="E605" t="str">
            <v>利根川右岸流域</v>
          </cell>
          <cell r="F605" t="str">
            <v>81</v>
          </cell>
          <cell r="G605" t="str">
            <v>流域</v>
          </cell>
          <cell r="H605" t="str">
            <v>流域下水道</v>
          </cell>
          <cell r="I605" t="str">
            <v/>
          </cell>
          <cell r="J605" t="str">
            <v>001</v>
          </cell>
          <cell r="K605" t="str">
            <v>小山川水循環センター</v>
          </cell>
          <cell r="M605" t="str">
            <v>1</v>
          </cell>
          <cell r="N605" t="str">
            <v>1</v>
          </cell>
          <cell r="Q605">
            <v>31503</v>
          </cell>
          <cell r="R605" t="str">
            <v>昭和</v>
          </cell>
          <cell r="S605">
            <v>61</v>
          </cell>
          <cell r="T605">
            <v>4</v>
          </cell>
          <cell r="AB605">
            <v>129031</v>
          </cell>
          <cell r="AC605" t="str">
            <v>小山川上流</v>
          </cell>
          <cell r="AD605" t="str">
            <v>Ａ</v>
          </cell>
          <cell r="AE605" t="str">
            <v>イ</v>
          </cell>
          <cell r="AF605">
            <v>15</v>
          </cell>
          <cell r="AK605" t="str">
            <v>女掘川</v>
          </cell>
          <cell r="AQ605" t="str">
            <v/>
          </cell>
          <cell r="AR605" t="str">
            <v>標準活性汚泥法</v>
          </cell>
          <cell r="AS605" t="str">
            <v>1100881001</v>
          </cell>
          <cell r="AT605" t="str">
            <v/>
          </cell>
          <cell r="AU605" t="str">
            <v>10</v>
          </cell>
          <cell r="AV605" t="str">
            <v>10</v>
          </cell>
          <cell r="AW605">
            <v>0</v>
          </cell>
          <cell r="AX605">
            <v>0</v>
          </cell>
          <cell r="AY605">
            <v>0</v>
          </cell>
          <cell r="AZ605">
            <v>0</v>
          </cell>
          <cell r="BA605">
            <v>0</v>
          </cell>
          <cell r="BD605" t="str">
            <v/>
          </cell>
          <cell r="BE605">
            <v>1</v>
          </cell>
          <cell r="BG605" t="str">
            <v>1100</v>
          </cell>
        </row>
        <row r="606">
          <cell r="B606" t="str">
            <v>G111000106100100</v>
          </cell>
          <cell r="C606" t="str">
            <v>11.埼玉県</v>
          </cell>
          <cell r="D606" t="str">
            <v>100</v>
          </cell>
          <cell r="E606" t="str">
            <v>さいたま市</v>
          </cell>
          <cell r="F606" t="str">
            <v>01</v>
          </cell>
          <cell r="G606" t="str">
            <v>公共 単独</v>
          </cell>
          <cell r="H606" t="str">
            <v>公共下水道</v>
          </cell>
          <cell r="I606" t="str">
            <v>単独</v>
          </cell>
          <cell r="J606" t="str">
            <v>001</v>
          </cell>
          <cell r="K606" t="str">
            <v>下水処理センター</v>
          </cell>
          <cell r="M606" t="str">
            <v>1</v>
          </cell>
          <cell r="N606" t="str">
            <v>1</v>
          </cell>
          <cell r="Q606">
            <v>24198</v>
          </cell>
          <cell r="R606" t="str">
            <v>昭和</v>
          </cell>
          <cell r="S606">
            <v>41</v>
          </cell>
          <cell r="T606">
            <v>4</v>
          </cell>
          <cell r="AB606">
            <v>12076</v>
          </cell>
          <cell r="AC606" t="str">
            <v>芝川</v>
          </cell>
          <cell r="AD606" t="str">
            <v>Ｄ</v>
          </cell>
          <cell r="AE606" t="str">
            <v>イ</v>
          </cell>
          <cell r="AF606">
            <v>15</v>
          </cell>
          <cell r="AK606" t="str">
            <v>芝川</v>
          </cell>
          <cell r="AQ606" t="str">
            <v/>
          </cell>
          <cell r="AR606" t="str">
            <v>標準活性汚泥法</v>
          </cell>
          <cell r="AS606" t="str">
            <v>1110001001</v>
          </cell>
          <cell r="AT606" t="str">
            <v/>
          </cell>
          <cell r="AU606" t="str">
            <v>10</v>
          </cell>
          <cell r="AV606" t="str">
            <v>10</v>
          </cell>
          <cell r="AW606">
            <v>0</v>
          </cell>
          <cell r="AX606">
            <v>0</v>
          </cell>
          <cell r="AY606">
            <v>0</v>
          </cell>
          <cell r="AZ606">
            <v>0</v>
          </cell>
          <cell r="BA606">
            <v>0</v>
          </cell>
          <cell r="BD606" t="str">
            <v/>
          </cell>
          <cell r="BE606">
            <v>1</v>
          </cell>
          <cell r="BG606" t="str">
            <v>1100</v>
          </cell>
        </row>
        <row r="607">
          <cell r="B607" t="str">
            <v>G112020106100100</v>
          </cell>
          <cell r="C607" t="str">
            <v>11.埼玉県</v>
          </cell>
          <cell r="D607" t="str">
            <v>202</v>
          </cell>
          <cell r="E607" t="str">
            <v>熊谷市</v>
          </cell>
          <cell r="F607" t="str">
            <v>01</v>
          </cell>
          <cell r="G607" t="str">
            <v>公共 単独</v>
          </cell>
          <cell r="H607" t="str">
            <v>公共下水道</v>
          </cell>
          <cell r="I607" t="str">
            <v>単独</v>
          </cell>
          <cell r="J607" t="str">
            <v>001</v>
          </cell>
          <cell r="K607" t="str">
            <v>妻沼水質管理センター</v>
          </cell>
          <cell r="M607" t="str">
            <v>1</v>
          </cell>
          <cell r="N607" t="str">
            <v>1</v>
          </cell>
          <cell r="Q607">
            <v>36982</v>
          </cell>
          <cell r="R607" t="str">
            <v>平成</v>
          </cell>
          <cell r="S607">
            <v>13</v>
          </cell>
          <cell r="T607">
            <v>4</v>
          </cell>
          <cell r="AB607">
            <v>34879</v>
          </cell>
          <cell r="AC607" t="str">
            <v>福川</v>
          </cell>
          <cell r="AD607" t="str">
            <v>Ｂ</v>
          </cell>
          <cell r="AE607" t="str">
            <v>ロ</v>
          </cell>
          <cell r="AF607">
            <v>15</v>
          </cell>
          <cell r="AH607">
            <v>2</v>
          </cell>
          <cell r="AI607" t="str">
            <v>道閑堀排水路</v>
          </cell>
          <cell r="AK607" t="str">
            <v>福川・利根川</v>
          </cell>
          <cell r="AL607" t="str">
            <v>利根大堰</v>
          </cell>
          <cell r="AN607">
            <v>8.3000000000000007</v>
          </cell>
          <cell r="AO607" t="str">
            <v>52市町村</v>
          </cell>
          <cell r="AQ607" t="str">
            <v/>
          </cell>
          <cell r="AR607" t="str">
            <v>オキシディションディッチ法</v>
          </cell>
          <cell r="AS607" t="str">
            <v>1120201001</v>
          </cell>
          <cell r="AT607" t="str">
            <v/>
          </cell>
          <cell r="AU607" t="str">
            <v>10</v>
          </cell>
          <cell r="AV607" t="str">
            <v>10</v>
          </cell>
          <cell r="AW607">
            <v>0</v>
          </cell>
          <cell r="AX607">
            <v>0</v>
          </cell>
          <cell r="AY607">
            <v>0</v>
          </cell>
          <cell r="AZ607">
            <v>0</v>
          </cell>
          <cell r="BA607">
            <v>0</v>
          </cell>
          <cell r="BD607" t="str">
            <v/>
          </cell>
          <cell r="BE607">
            <v>1</v>
          </cell>
          <cell r="BG607" t="str">
            <v>1100</v>
          </cell>
        </row>
        <row r="608">
          <cell r="B608" t="str">
            <v>G112070106100100</v>
          </cell>
          <cell r="C608" t="str">
            <v>11.埼玉県</v>
          </cell>
          <cell r="D608" t="str">
            <v>207</v>
          </cell>
          <cell r="E608" t="str">
            <v>秩父市</v>
          </cell>
          <cell r="F608" t="str">
            <v>01</v>
          </cell>
          <cell r="G608" t="str">
            <v>公共 単独</v>
          </cell>
          <cell r="H608" t="str">
            <v>公共下水道</v>
          </cell>
          <cell r="I608" t="str">
            <v>単独</v>
          </cell>
          <cell r="J608" t="str">
            <v>001</v>
          </cell>
          <cell r="K608" t="str">
            <v>秩父市下水道センター</v>
          </cell>
          <cell r="M608" t="str">
            <v>1</v>
          </cell>
          <cell r="N608" t="str">
            <v>1</v>
          </cell>
          <cell r="Q608">
            <v>25112</v>
          </cell>
          <cell r="R608" t="str">
            <v>昭和</v>
          </cell>
          <cell r="S608">
            <v>43</v>
          </cell>
          <cell r="T608">
            <v>10</v>
          </cell>
          <cell r="AB608">
            <v>67173</v>
          </cell>
          <cell r="AC608" t="str">
            <v>荒川水系の荒川</v>
          </cell>
          <cell r="AD608" t="str">
            <v>Ａ</v>
          </cell>
          <cell r="AE608" t="str">
            <v>イ</v>
          </cell>
          <cell r="AF608">
            <v>15</v>
          </cell>
          <cell r="AK608" t="str">
            <v>荒川</v>
          </cell>
          <cell r="AL608" t="str">
            <v>秩父市別所浄水場</v>
          </cell>
          <cell r="AM608">
            <v>4.5</v>
          </cell>
          <cell r="AO608" t="str">
            <v>秩父市</v>
          </cell>
          <cell r="AQ608" t="str">
            <v/>
          </cell>
          <cell r="AR608" t="str">
            <v>標準活性汚泥法</v>
          </cell>
          <cell r="AS608" t="str">
            <v>1120701001</v>
          </cell>
          <cell r="AT608" t="str">
            <v/>
          </cell>
          <cell r="AU608" t="str">
            <v>10</v>
          </cell>
          <cell r="AV608" t="str">
            <v>10</v>
          </cell>
          <cell r="AW608">
            <v>0</v>
          </cell>
          <cell r="AX608">
            <v>0</v>
          </cell>
          <cell r="AY608">
            <v>0</v>
          </cell>
          <cell r="AZ608">
            <v>0</v>
          </cell>
          <cell r="BA608">
            <v>0</v>
          </cell>
          <cell r="BD608" t="str">
            <v/>
          </cell>
          <cell r="BE608">
            <v>1</v>
          </cell>
          <cell r="BG608" t="str">
            <v>1100</v>
          </cell>
        </row>
        <row r="609">
          <cell r="B609" t="str">
            <v>G112080106100100</v>
          </cell>
          <cell r="C609" t="str">
            <v>11.埼玉県</v>
          </cell>
          <cell r="D609" t="str">
            <v>208</v>
          </cell>
          <cell r="E609" t="str">
            <v>所沢市</v>
          </cell>
          <cell r="F609" t="str">
            <v>01</v>
          </cell>
          <cell r="G609" t="str">
            <v>公共 単独</v>
          </cell>
          <cell r="H609" t="str">
            <v>公共下水道</v>
          </cell>
          <cell r="I609" t="str">
            <v>単独</v>
          </cell>
          <cell r="J609" t="str">
            <v>001</v>
          </cell>
          <cell r="K609" t="str">
            <v>所沢下水処理場</v>
          </cell>
          <cell r="Q609">
            <v>24990</v>
          </cell>
          <cell r="R609" t="str">
            <v>昭和</v>
          </cell>
          <cell r="S609">
            <v>43</v>
          </cell>
          <cell r="T609">
            <v>6</v>
          </cell>
          <cell r="U609" t="str">
            <v>廃止</v>
          </cell>
          <cell r="V609">
            <v>41364</v>
          </cell>
          <cell r="W609" t="str">
            <v>平成</v>
          </cell>
          <cell r="X609">
            <v>25</v>
          </cell>
          <cell r="Y609">
            <v>3</v>
          </cell>
          <cell r="AB609">
            <v>44710</v>
          </cell>
          <cell r="AQ609" t="str">
            <v>廃止</v>
          </cell>
          <cell r="AR609" t="str">
            <v/>
          </cell>
          <cell r="AS609" t="str">
            <v>1120801001</v>
          </cell>
          <cell r="AT609">
            <v>1</v>
          </cell>
          <cell r="AU609" t="str">
            <v>00</v>
          </cell>
          <cell r="AV609" t="str">
            <v>00</v>
          </cell>
          <cell r="AW609">
            <v>0</v>
          </cell>
          <cell r="AX609">
            <v>0</v>
          </cell>
          <cell r="AY609">
            <v>0</v>
          </cell>
          <cell r="AZ609">
            <v>0</v>
          </cell>
          <cell r="BA609">
            <v>0</v>
          </cell>
          <cell r="BD609" t="str">
            <v/>
          </cell>
          <cell r="BE609">
            <v>0</v>
          </cell>
          <cell r="BG609">
            <v>9999</v>
          </cell>
        </row>
        <row r="610">
          <cell r="B610" t="str">
            <v>G112080106100200</v>
          </cell>
          <cell r="C610" t="str">
            <v>11.埼玉県</v>
          </cell>
          <cell r="D610" t="str">
            <v>208</v>
          </cell>
          <cell r="E610" t="str">
            <v>所沢市</v>
          </cell>
          <cell r="F610" t="str">
            <v>01</v>
          </cell>
          <cell r="G610" t="str">
            <v>公共 単独</v>
          </cell>
          <cell r="H610" t="str">
            <v>公共下水道</v>
          </cell>
          <cell r="I610" t="str">
            <v>単独</v>
          </cell>
          <cell r="J610" t="str">
            <v>002</v>
          </cell>
          <cell r="K610" t="str">
            <v>所沢市コンポストセンター</v>
          </cell>
          <cell r="Q610">
            <v>30560</v>
          </cell>
          <cell r="R610" t="str">
            <v>昭和</v>
          </cell>
          <cell r="S610">
            <v>58</v>
          </cell>
          <cell r="T610">
            <v>9</v>
          </cell>
          <cell r="U610" t="str">
            <v>廃止</v>
          </cell>
          <cell r="V610">
            <v>41364</v>
          </cell>
          <cell r="W610" t="str">
            <v>平成</v>
          </cell>
          <cell r="X610">
            <v>25</v>
          </cell>
          <cell r="Y610">
            <v>3</v>
          </cell>
          <cell r="AB610">
            <v>8600</v>
          </cell>
          <cell r="AQ610" t="str">
            <v>廃止</v>
          </cell>
          <cell r="AR610" t="str">
            <v/>
          </cell>
          <cell r="AS610" t="str">
            <v>1120801002</v>
          </cell>
          <cell r="AT610">
            <v>1</v>
          </cell>
          <cell r="AU610" t="str">
            <v>00</v>
          </cell>
          <cell r="AV610" t="str">
            <v>00</v>
          </cell>
          <cell r="AW610">
            <v>0</v>
          </cell>
          <cell r="AX610">
            <v>0</v>
          </cell>
          <cell r="AY610">
            <v>0</v>
          </cell>
          <cell r="AZ610">
            <v>0</v>
          </cell>
          <cell r="BA610">
            <v>0</v>
          </cell>
          <cell r="BD610" t="str">
            <v/>
          </cell>
          <cell r="BE610">
            <v>0</v>
          </cell>
          <cell r="BG610">
            <v>9999</v>
          </cell>
        </row>
        <row r="611">
          <cell r="B611" t="str">
            <v>G112090106100100</v>
          </cell>
          <cell r="C611" t="str">
            <v>11.埼玉県</v>
          </cell>
          <cell r="D611" t="str">
            <v>209</v>
          </cell>
          <cell r="E611" t="str">
            <v>飯能市</v>
          </cell>
          <cell r="F611" t="str">
            <v>01</v>
          </cell>
          <cell r="G611" t="str">
            <v>公共 単独</v>
          </cell>
          <cell r="H611" t="str">
            <v>公共下水道</v>
          </cell>
          <cell r="I611" t="str">
            <v>単独</v>
          </cell>
          <cell r="J611" t="str">
            <v>001</v>
          </cell>
          <cell r="K611" t="str">
            <v>飯能市浄化センター</v>
          </cell>
          <cell r="M611" t="str">
            <v>1</v>
          </cell>
          <cell r="N611" t="str">
            <v>1</v>
          </cell>
          <cell r="Q611">
            <v>24198</v>
          </cell>
          <cell r="R611" t="str">
            <v>昭和</v>
          </cell>
          <cell r="S611">
            <v>41</v>
          </cell>
          <cell r="T611">
            <v>4</v>
          </cell>
          <cell r="AB611">
            <v>47604</v>
          </cell>
          <cell r="AC611" t="str">
            <v>成木川</v>
          </cell>
          <cell r="AD611" t="str">
            <v>Ａ</v>
          </cell>
          <cell r="AE611" t="str">
            <v>イ</v>
          </cell>
          <cell r="AF611">
            <v>15</v>
          </cell>
          <cell r="AK611" t="str">
            <v>成木川</v>
          </cell>
          <cell r="AL611" t="str">
            <v>本郷浄水場</v>
          </cell>
          <cell r="AM611">
            <v>3.1</v>
          </cell>
          <cell r="AO611" t="str">
            <v>飯能市</v>
          </cell>
          <cell r="AQ611" t="str">
            <v/>
          </cell>
          <cell r="AR611" t="str">
            <v>標準活性汚泥法</v>
          </cell>
          <cell r="AS611" t="str">
            <v>1120901001</v>
          </cell>
          <cell r="AT611" t="str">
            <v/>
          </cell>
          <cell r="AU611" t="str">
            <v>10</v>
          </cell>
          <cell r="AV611" t="str">
            <v>10</v>
          </cell>
          <cell r="AW611">
            <v>0</v>
          </cell>
          <cell r="AX611">
            <v>0</v>
          </cell>
          <cell r="AY611">
            <v>0</v>
          </cell>
          <cell r="AZ611">
            <v>0</v>
          </cell>
          <cell r="BA611">
            <v>0</v>
          </cell>
          <cell r="BD611" t="str">
            <v/>
          </cell>
          <cell r="BE611">
            <v>1</v>
          </cell>
          <cell r="BG611" t="str">
            <v>1100</v>
          </cell>
        </row>
        <row r="612">
          <cell r="B612" t="str">
            <v>G112090206100200</v>
          </cell>
          <cell r="C612" t="str">
            <v>11.埼玉県</v>
          </cell>
          <cell r="D612" t="str">
            <v>209</v>
          </cell>
          <cell r="E612" t="str">
            <v>飯能市</v>
          </cell>
          <cell r="F612" t="str">
            <v>02</v>
          </cell>
          <cell r="G612" t="str">
            <v>特環 単独</v>
          </cell>
          <cell r="H612" t="str">
            <v>特定環境保全公共下水道</v>
          </cell>
          <cell r="I612" t="str">
            <v>単独</v>
          </cell>
          <cell r="J612" t="str">
            <v>002</v>
          </cell>
          <cell r="K612" t="str">
            <v>原市場浄化センター</v>
          </cell>
          <cell r="M612" t="str">
            <v>1</v>
          </cell>
          <cell r="N612" t="str">
            <v>1</v>
          </cell>
          <cell r="Q612">
            <v>33695</v>
          </cell>
          <cell r="R612" t="str">
            <v>平成</v>
          </cell>
          <cell r="S612">
            <v>4</v>
          </cell>
          <cell r="T612">
            <v>4</v>
          </cell>
          <cell r="AB612">
            <v>880</v>
          </cell>
          <cell r="AC612" t="str">
            <v>入間川上流</v>
          </cell>
          <cell r="AD612" t="str">
            <v>Ａ</v>
          </cell>
          <cell r="AE612" t="str">
            <v>ロ</v>
          </cell>
          <cell r="AF612">
            <v>15</v>
          </cell>
          <cell r="AI612" t="str">
            <v>妻沢川</v>
          </cell>
          <cell r="AK612" t="str">
            <v>入間川</v>
          </cell>
          <cell r="AL612" t="str">
            <v>小岩井取水口</v>
          </cell>
          <cell r="AN612">
            <v>3.5</v>
          </cell>
          <cell r="AO612" t="str">
            <v>飯能市</v>
          </cell>
          <cell r="AQ612" t="str">
            <v/>
          </cell>
          <cell r="AR612" t="str">
            <v>回分式活性汚泥法</v>
          </cell>
          <cell r="AS612" t="str">
            <v>1120902002</v>
          </cell>
          <cell r="AT612" t="str">
            <v/>
          </cell>
          <cell r="AU612" t="str">
            <v>10</v>
          </cell>
          <cell r="AV612" t="str">
            <v>10</v>
          </cell>
          <cell r="AW612">
            <v>0</v>
          </cell>
          <cell r="AX612">
            <v>0</v>
          </cell>
          <cell r="AY612">
            <v>0</v>
          </cell>
          <cell r="AZ612">
            <v>0</v>
          </cell>
          <cell r="BA612">
            <v>0</v>
          </cell>
          <cell r="BD612" t="str">
            <v/>
          </cell>
          <cell r="BE612">
            <v>1</v>
          </cell>
          <cell r="BG612" t="str">
            <v>1100</v>
          </cell>
        </row>
        <row r="613">
          <cell r="B613" t="str">
            <v>G112100106100100</v>
          </cell>
          <cell r="C613" t="str">
            <v>11.埼玉県</v>
          </cell>
          <cell r="D613" t="str">
            <v>210</v>
          </cell>
          <cell r="E613" t="str">
            <v>加須市</v>
          </cell>
          <cell r="F613" t="str">
            <v>01</v>
          </cell>
          <cell r="G613" t="str">
            <v>公共 単独</v>
          </cell>
          <cell r="H613" t="str">
            <v>公共下水道</v>
          </cell>
          <cell r="I613" t="str">
            <v>単独</v>
          </cell>
          <cell r="J613" t="str">
            <v>001</v>
          </cell>
          <cell r="K613" t="str">
            <v>加須市環境浄化センター</v>
          </cell>
          <cell r="M613" t="str">
            <v>1</v>
          </cell>
          <cell r="N613" t="str">
            <v>1</v>
          </cell>
          <cell r="Q613">
            <v>30407</v>
          </cell>
          <cell r="R613" t="str">
            <v>昭和</v>
          </cell>
          <cell r="S613">
            <v>58</v>
          </cell>
          <cell r="T613">
            <v>4</v>
          </cell>
          <cell r="AB613">
            <v>46028</v>
          </cell>
          <cell r="AC613" t="str">
            <v>大落古利根川</v>
          </cell>
          <cell r="AD613" t="str">
            <v>Ｃ</v>
          </cell>
          <cell r="AE613" t="str">
            <v>ハ</v>
          </cell>
          <cell r="AF613">
            <v>15</v>
          </cell>
          <cell r="AK613" t="str">
            <v>青毛堀川</v>
          </cell>
          <cell r="AQ613" t="str">
            <v/>
          </cell>
          <cell r="AR613" t="str">
            <v>標準活性汚泥法</v>
          </cell>
          <cell r="AS613" t="str">
            <v>1121001001</v>
          </cell>
          <cell r="AT613" t="str">
            <v/>
          </cell>
          <cell r="AU613" t="str">
            <v>10</v>
          </cell>
          <cell r="AV613" t="str">
            <v>10</v>
          </cell>
          <cell r="AW613">
            <v>0</v>
          </cell>
          <cell r="AX613">
            <v>0</v>
          </cell>
          <cell r="AY613">
            <v>0</v>
          </cell>
          <cell r="AZ613">
            <v>0</v>
          </cell>
          <cell r="BA613">
            <v>0</v>
          </cell>
          <cell r="BD613" t="str">
            <v/>
          </cell>
          <cell r="BE613">
            <v>1</v>
          </cell>
          <cell r="BG613" t="str">
            <v>1100</v>
          </cell>
        </row>
        <row r="614">
          <cell r="B614" t="str">
            <v>G112120106100100</v>
          </cell>
          <cell r="C614" t="str">
            <v>11.埼玉県</v>
          </cell>
          <cell r="D614" t="str">
            <v>212</v>
          </cell>
          <cell r="E614" t="str">
            <v>東松山市</v>
          </cell>
          <cell r="F614" t="str">
            <v>01</v>
          </cell>
          <cell r="G614" t="str">
            <v>公共 単独</v>
          </cell>
          <cell r="H614" t="str">
            <v>公共下水道</v>
          </cell>
          <cell r="I614" t="str">
            <v>単独</v>
          </cell>
          <cell r="J614" t="str">
            <v>001</v>
          </cell>
          <cell r="K614" t="str">
            <v>市野川浄化センター</v>
          </cell>
          <cell r="M614" t="str">
            <v>1</v>
          </cell>
          <cell r="N614" t="str">
            <v>1</v>
          </cell>
          <cell r="O614" t="str">
            <v>1</v>
          </cell>
          <cell r="Q614">
            <v>28246</v>
          </cell>
          <cell r="R614" t="str">
            <v>昭和</v>
          </cell>
          <cell r="S614">
            <v>52</v>
          </cell>
          <cell r="T614">
            <v>5</v>
          </cell>
          <cell r="U614" t="str">
            <v>名称変更</v>
          </cell>
          <cell r="V614">
            <v>36875</v>
          </cell>
          <cell r="W614" t="str">
            <v>平成</v>
          </cell>
          <cell r="X614">
            <v>12</v>
          </cell>
          <cell r="Y614">
            <v>12</v>
          </cell>
          <cell r="Z614" t="str">
            <v>市野川終末処理場</v>
          </cell>
          <cell r="AB614">
            <v>44892</v>
          </cell>
          <cell r="AC614" t="str">
            <v>市野川下流</v>
          </cell>
          <cell r="AD614" t="str">
            <v>Ｃ</v>
          </cell>
          <cell r="AE614" t="str">
            <v>ロ</v>
          </cell>
          <cell r="AF614">
            <v>15</v>
          </cell>
          <cell r="AK614" t="str">
            <v>市野川</v>
          </cell>
          <cell r="AL614" t="str">
            <v>秋ヶ瀬取水口</v>
          </cell>
          <cell r="AN614">
            <v>28</v>
          </cell>
          <cell r="AO614" t="str">
            <v>東京都</v>
          </cell>
          <cell r="AQ614" t="str">
            <v/>
          </cell>
          <cell r="AR614" t="str">
            <v>標準活性汚泥法</v>
          </cell>
          <cell r="AS614" t="str">
            <v>1121201001</v>
          </cell>
          <cell r="AT614" t="str">
            <v/>
          </cell>
          <cell r="AU614" t="str">
            <v>11</v>
          </cell>
          <cell r="AV614" t="str">
            <v>10</v>
          </cell>
          <cell r="AW614">
            <v>0</v>
          </cell>
          <cell r="AX614">
            <v>0</v>
          </cell>
          <cell r="AY614">
            <v>-1</v>
          </cell>
          <cell r="AZ614">
            <v>0</v>
          </cell>
          <cell r="BA614">
            <v>1</v>
          </cell>
          <cell r="BC614" t="str">
            <v>コンポスト休止</v>
          </cell>
          <cell r="BD614" t="str">
            <v>コンポスト休止</v>
          </cell>
          <cell r="BE614">
            <v>1</v>
          </cell>
          <cell r="BG614" t="str">
            <v>1110</v>
          </cell>
        </row>
        <row r="615">
          <cell r="B615" t="str">
            <v>G112120106100200</v>
          </cell>
          <cell r="C615" t="str">
            <v>11.埼玉県</v>
          </cell>
          <cell r="D615" t="str">
            <v>212</v>
          </cell>
          <cell r="E615" t="str">
            <v>東松山市</v>
          </cell>
          <cell r="F615" t="str">
            <v>01</v>
          </cell>
          <cell r="G615" t="str">
            <v>公共 単独</v>
          </cell>
          <cell r="H615" t="str">
            <v>公共下水道</v>
          </cell>
          <cell r="I615" t="str">
            <v>単独</v>
          </cell>
          <cell r="J615" t="str">
            <v>002</v>
          </cell>
          <cell r="K615" t="str">
            <v>高坂浄化センター</v>
          </cell>
          <cell r="M615" t="str">
            <v>1</v>
          </cell>
          <cell r="N615" t="str">
            <v>1</v>
          </cell>
          <cell r="Q615">
            <v>30742</v>
          </cell>
          <cell r="R615" t="str">
            <v>昭和</v>
          </cell>
          <cell r="S615">
            <v>59</v>
          </cell>
          <cell r="T615">
            <v>3</v>
          </cell>
          <cell r="U615" t="str">
            <v>名称変更</v>
          </cell>
          <cell r="V615">
            <v>36875</v>
          </cell>
          <cell r="W615" t="str">
            <v>平成</v>
          </cell>
          <cell r="X615">
            <v>12</v>
          </cell>
          <cell r="Y615">
            <v>12</v>
          </cell>
          <cell r="Z615" t="str">
            <v>高坂終末処理場</v>
          </cell>
          <cell r="AB615">
            <v>28796</v>
          </cell>
          <cell r="AC615" t="str">
            <v>越辺川下流</v>
          </cell>
          <cell r="AD615" t="str">
            <v>Ｂ</v>
          </cell>
          <cell r="AE615" t="str">
            <v>ロ</v>
          </cell>
          <cell r="AF615">
            <v>15</v>
          </cell>
          <cell r="AK615" t="str">
            <v>九十九川</v>
          </cell>
          <cell r="AL615" t="str">
            <v>秋ヶ瀬取水口</v>
          </cell>
          <cell r="AN615">
            <v>25</v>
          </cell>
          <cell r="AO615" t="str">
            <v>東京都</v>
          </cell>
          <cell r="AQ615" t="str">
            <v/>
          </cell>
          <cell r="AR615" t="str">
            <v>標準活性汚泥法</v>
          </cell>
          <cell r="AS615" t="str">
            <v>1121201002</v>
          </cell>
          <cell r="AT615" t="str">
            <v/>
          </cell>
          <cell r="AU615" t="str">
            <v>10</v>
          </cell>
          <cell r="AV615" t="str">
            <v>10</v>
          </cell>
          <cell r="AW615">
            <v>0</v>
          </cell>
          <cell r="AX615">
            <v>0</v>
          </cell>
          <cell r="AY615">
            <v>0</v>
          </cell>
          <cell r="AZ615">
            <v>0</v>
          </cell>
          <cell r="BA615">
            <v>0</v>
          </cell>
          <cell r="BD615" t="str">
            <v/>
          </cell>
          <cell r="BE615">
            <v>1</v>
          </cell>
          <cell r="BG615" t="str">
            <v>1100</v>
          </cell>
        </row>
        <row r="616">
          <cell r="B616" t="str">
            <v>G112160106100100</v>
          </cell>
          <cell r="C616" t="str">
            <v>11.埼玉県</v>
          </cell>
          <cell r="D616" t="str">
            <v>216</v>
          </cell>
          <cell r="E616" t="str">
            <v>羽生市</v>
          </cell>
          <cell r="F616" t="str">
            <v>01</v>
          </cell>
          <cell r="G616" t="str">
            <v>公共 単独</v>
          </cell>
          <cell r="H616" t="str">
            <v>公共下水道</v>
          </cell>
          <cell r="I616" t="str">
            <v>単独</v>
          </cell>
          <cell r="J616" t="str">
            <v>001</v>
          </cell>
          <cell r="K616" t="str">
            <v>羽生市水質浄化センター</v>
          </cell>
          <cell r="M616" t="str">
            <v>1</v>
          </cell>
          <cell r="N616" t="str">
            <v>1</v>
          </cell>
          <cell r="Q616">
            <v>31503</v>
          </cell>
          <cell r="R616" t="str">
            <v>昭和</v>
          </cell>
          <cell r="S616">
            <v>61</v>
          </cell>
          <cell r="T616">
            <v>4</v>
          </cell>
          <cell r="AB616">
            <v>69955</v>
          </cell>
          <cell r="AC616" t="str">
            <v>中川上流水域</v>
          </cell>
          <cell r="AD616" t="str">
            <v>Ｃ</v>
          </cell>
          <cell r="AE616" t="str">
            <v>ハ</v>
          </cell>
          <cell r="AF616">
            <v>15</v>
          </cell>
          <cell r="AI616" t="str">
            <v>操舟落排水路</v>
          </cell>
          <cell r="AK616" t="str">
            <v>中川</v>
          </cell>
          <cell r="AQ616" t="str">
            <v/>
          </cell>
          <cell r="AR616" t="str">
            <v>標準活性汚泥法</v>
          </cell>
          <cell r="AS616" t="str">
            <v>1121601001</v>
          </cell>
          <cell r="AT616" t="str">
            <v/>
          </cell>
          <cell r="AU616" t="str">
            <v>10</v>
          </cell>
          <cell r="AV616" t="str">
            <v>10</v>
          </cell>
          <cell r="AW616">
            <v>0</v>
          </cell>
          <cell r="AX616">
            <v>0</v>
          </cell>
          <cell r="AY616">
            <v>0</v>
          </cell>
          <cell r="AZ616">
            <v>0</v>
          </cell>
          <cell r="BA616">
            <v>0</v>
          </cell>
          <cell r="BD616" t="str">
            <v/>
          </cell>
          <cell r="BE616">
            <v>1</v>
          </cell>
          <cell r="BG616" t="str">
            <v>1100</v>
          </cell>
        </row>
        <row r="617">
          <cell r="B617" t="str">
            <v>G112180106100100</v>
          </cell>
          <cell r="C617" t="str">
            <v>11.埼玉県</v>
          </cell>
          <cell r="D617" t="str">
            <v>218</v>
          </cell>
          <cell r="E617" t="str">
            <v>深谷市</v>
          </cell>
          <cell r="F617" t="str">
            <v>01</v>
          </cell>
          <cell r="G617" t="str">
            <v>公共 単独</v>
          </cell>
          <cell r="H617" t="str">
            <v>公共下水道</v>
          </cell>
          <cell r="I617" t="str">
            <v>単独</v>
          </cell>
          <cell r="J617" t="str">
            <v>001</v>
          </cell>
          <cell r="K617" t="str">
            <v>深谷市浄化センター</v>
          </cell>
          <cell r="M617" t="str">
            <v>1</v>
          </cell>
          <cell r="N617" t="str">
            <v>1</v>
          </cell>
          <cell r="Q617">
            <v>31138</v>
          </cell>
          <cell r="R617" t="str">
            <v>昭和</v>
          </cell>
          <cell r="S617">
            <v>60</v>
          </cell>
          <cell r="T617">
            <v>4</v>
          </cell>
          <cell r="AB617">
            <v>100650</v>
          </cell>
          <cell r="AC617" t="str">
            <v>小山川下流域</v>
          </cell>
          <cell r="AD617" t="str">
            <v>Ｂ</v>
          </cell>
          <cell r="AE617" t="str">
            <v>ロ</v>
          </cell>
          <cell r="AF617">
            <v>15</v>
          </cell>
          <cell r="AG617">
            <v>15</v>
          </cell>
          <cell r="AK617" t="str">
            <v>小山川</v>
          </cell>
          <cell r="AL617" t="str">
            <v>武蔵水路取水口</v>
          </cell>
          <cell r="AN617">
            <v>19</v>
          </cell>
          <cell r="AO617" t="str">
            <v>行田市</v>
          </cell>
          <cell r="AQ617" t="str">
            <v/>
          </cell>
          <cell r="AR617" t="str">
            <v>標準活性汚泥法</v>
          </cell>
          <cell r="AS617" t="str">
            <v>1121801001</v>
          </cell>
          <cell r="AT617" t="str">
            <v/>
          </cell>
          <cell r="AU617" t="str">
            <v>10</v>
          </cell>
          <cell r="AV617" t="str">
            <v>10</v>
          </cell>
          <cell r="AW617">
            <v>0</v>
          </cell>
          <cell r="AX617">
            <v>0</v>
          </cell>
          <cell r="AY617">
            <v>0</v>
          </cell>
          <cell r="AZ617">
            <v>0</v>
          </cell>
          <cell r="BA617">
            <v>0</v>
          </cell>
          <cell r="BD617" t="str">
            <v/>
          </cell>
          <cell r="BE617">
            <v>1</v>
          </cell>
          <cell r="BG617" t="str">
            <v>1100</v>
          </cell>
        </row>
        <row r="618">
          <cell r="B618" t="str">
            <v>G112180106100200</v>
          </cell>
          <cell r="C618" t="str">
            <v>11.埼玉県</v>
          </cell>
          <cell r="D618" t="str">
            <v>218</v>
          </cell>
          <cell r="E618" t="str">
            <v>深谷市</v>
          </cell>
          <cell r="F618" t="str">
            <v>01</v>
          </cell>
          <cell r="G618" t="str">
            <v>公共 単独</v>
          </cell>
          <cell r="H618" t="str">
            <v>公共下水道</v>
          </cell>
          <cell r="I618" t="str">
            <v>単独</v>
          </cell>
          <cell r="J618" t="str">
            <v>002</v>
          </cell>
          <cell r="K618" t="str">
            <v>深谷市岡部浄化センター</v>
          </cell>
          <cell r="M618" t="str">
            <v>1</v>
          </cell>
          <cell r="N618" t="str">
            <v>1</v>
          </cell>
          <cell r="Q618">
            <v>35521</v>
          </cell>
          <cell r="R618" t="str">
            <v>平成</v>
          </cell>
          <cell r="S618">
            <v>9</v>
          </cell>
          <cell r="T618">
            <v>4</v>
          </cell>
          <cell r="AB618">
            <v>34070</v>
          </cell>
          <cell r="AC618" t="str">
            <v>福川</v>
          </cell>
          <cell r="AD618" t="str">
            <v>Ｂ</v>
          </cell>
          <cell r="AE618" t="str">
            <v>ロ</v>
          </cell>
          <cell r="AF618">
            <v>15</v>
          </cell>
          <cell r="AK618" t="str">
            <v>福川</v>
          </cell>
          <cell r="AL618" t="str">
            <v>行田浄水場取水口</v>
          </cell>
          <cell r="AN618">
            <v>21</v>
          </cell>
          <cell r="AO618" t="str">
            <v>行田市</v>
          </cell>
          <cell r="AQ618" t="str">
            <v/>
          </cell>
          <cell r="AR618" t="str">
            <v>オキシディションディッチ法</v>
          </cell>
          <cell r="AS618" t="str">
            <v>1121801002</v>
          </cell>
          <cell r="AT618" t="str">
            <v/>
          </cell>
          <cell r="AU618" t="str">
            <v>10</v>
          </cell>
          <cell r="AV618" t="str">
            <v>10</v>
          </cell>
          <cell r="AW618">
            <v>0</v>
          </cell>
          <cell r="AX618">
            <v>0</v>
          </cell>
          <cell r="AY618">
            <v>0</v>
          </cell>
          <cell r="AZ618">
            <v>0</v>
          </cell>
          <cell r="BA618">
            <v>0</v>
          </cell>
          <cell r="BD618" t="str">
            <v/>
          </cell>
          <cell r="BE618">
            <v>1</v>
          </cell>
          <cell r="BG618" t="str">
            <v>1100</v>
          </cell>
        </row>
        <row r="619">
          <cell r="B619" t="str">
            <v>G112420106100100</v>
          </cell>
          <cell r="C619" t="str">
            <v>11.埼玉県</v>
          </cell>
          <cell r="D619" t="str">
            <v>242</v>
          </cell>
          <cell r="E619" t="str">
            <v>日高市</v>
          </cell>
          <cell r="F619" t="str">
            <v>01</v>
          </cell>
          <cell r="G619" t="str">
            <v>公共 単独</v>
          </cell>
          <cell r="H619" t="str">
            <v>公共下水道</v>
          </cell>
          <cell r="I619" t="str">
            <v>単独</v>
          </cell>
          <cell r="J619" t="str">
            <v>001</v>
          </cell>
          <cell r="K619" t="str">
            <v>日高市浄化センター</v>
          </cell>
          <cell r="M619" t="str">
            <v>1</v>
          </cell>
          <cell r="N619" t="str">
            <v>1</v>
          </cell>
          <cell r="P619" t="str">
            <v>1</v>
          </cell>
          <cell r="Q619">
            <v>32478</v>
          </cell>
          <cell r="R619" t="str">
            <v>昭和</v>
          </cell>
          <cell r="S619">
            <v>63</v>
          </cell>
          <cell r="T619">
            <v>12</v>
          </cell>
          <cell r="AB619">
            <v>62580</v>
          </cell>
          <cell r="AC619" t="str">
            <v>小畔川</v>
          </cell>
          <cell r="AD619" t="str">
            <v>Ｂ</v>
          </cell>
          <cell r="AE619" t="str">
            <v>イ</v>
          </cell>
          <cell r="AF619">
            <v>15</v>
          </cell>
          <cell r="AI619" t="str">
            <v>下小畔川</v>
          </cell>
          <cell r="AK619" t="str">
            <v>小畔川</v>
          </cell>
          <cell r="AL619" t="str">
            <v>大久保浄水場取水口</v>
          </cell>
          <cell r="AN619">
            <v>25.1</v>
          </cell>
          <cell r="AO619" t="str">
            <v>川越市</v>
          </cell>
          <cell r="AQ619" t="str">
            <v/>
          </cell>
          <cell r="AR619" t="str">
            <v>標準活性汚泥法</v>
          </cell>
          <cell r="AS619" t="str">
            <v>1124201001</v>
          </cell>
          <cell r="AT619" t="str">
            <v/>
          </cell>
          <cell r="AU619" t="str">
            <v>10</v>
          </cell>
          <cell r="AV619" t="str">
            <v>10</v>
          </cell>
          <cell r="AW619">
            <v>1</v>
          </cell>
          <cell r="AX619">
            <v>0</v>
          </cell>
          <cell r="AY619">
            <v>0</v>
          </cell>
          <cell r="AZ619">
            <v>0</v>
          </cell>
          <cell r="BA619">
            <v>0</v>
          </cell>
          <cell r="BD619" t="str">
            <v/>
          </cell>
          <cell r="BE619">
            <v>1</v>
          </cell>
          <cell r="BG619" t="str">
            <v>1101</v>
          </cell>
        </row>
        <row r="620">
          <cell r="B620" t="str">
            <v>G113610206100100</v>
          </cell>
          <cell r="C620" t="str">
            <v>11.埼玉県</v>
          </cell>
          <cell r="D620" t="str">
            <v>361</v>
          </cell>
          <cell r="E620" t="str">
            <v>横瀬町</v>
          </cell>
          <cell r="F620" t="str">
            <v>02</v>
          </cell>
          <cell r="G620" t="str">
            <v>特環 単独</v>
          </cell>
          <cell r="H620" t="str">
            <v>特定環境保全公共下水道</v>
          </cell>
          <cell r="I620" t="str">
            <v>単独</v>
          </cell>
          <cell r="J620" t="str">
            <v>001</v>
          </cell>
          <cell r="K620" t="str">
            <v>横瀬町水質管理センター</v>
          </cell>
          <cell r="M620" t="str">
            <v>1</v>
          </cell>
          <cell r="N620" t="str">
            <v>1</v>
          </cell>
          <cell r="Q620">
            <v>39173</v>
          </cell>
          <cell r="R620" t="str">
            <v>平成</v>
          </cell>
          <cell r="S620">
            <v>19</v>
          </cell>
          <cell r="T620">
            <v>4</v>
          </cell>
          <cell r="AB620">
            <v>7756</v>
          </cell>
          <cell r="AC620" t="str">
            <v>荒川上流（２）</v>
          </cell>
          <cell r="AD620" t="str">
            <v>Ａ</v>
          </cell>
          <cell r="AE620" t="str">
            <v>ロ</v>
          </cell>
          <cell r="AF620">
            <v>15</v>
          </cell>
          <cell r="AH620">
            <v>3</v>
          </cell>
          <cell r="AK620" t="str">
            <v>横瀬川</v>
          </cell>
          <cell r="AL620" t="str">
            <v>滝の枕</v>
          </cell>
          <cell r="AM620">
            <v>3</v>
          </cell>
          <cell r="AO620" t="str">
            <v>横瀬町</v>
          </cell>
          <cell r="AQ620" t="str">
            <v/>
          </cell>
          <cell r="AR620" t="str">
            <v>好気性ろ床法</v>
          </cell>
          <cell r="AS620" t="str">
            <v>1136102001</v>
          </cell>
          <cell r="AT620" t="str">
            <v/>
          </cell>
          <cell r="AU620" t="str">
            <v>10</v>
          </cell>
          <cell r="AV620" t="str">
            <v>10</v>
          </cell>
          <cell r="AW620">
            <v>0</v>
          </cell>
          <cell r="AX620">
            <v>0</v>
          </cell>
          <cell r="AY620">
            <v>0</v>
          </cell>
          <cell r="AZ620">
            <v>0</v>
          </cell>
          <cell r="BA620">
            <v>0</v>
          </cell>
          <cell r="BD620" t="str">
            <v/>
          </cell>
          <cell r="BE620">
            <v>1</v>
          </cell>
          <cell r="BG620" t="str">
            <v>1100</v>
          </cell>
        </row>
        <row r="621">
          <cell r="B621" t="str">
            <v>G113830206100100</v>
          </cell>
          <cell r="C621" t="str">
            <v>11.埼玉県</v>
          </cell>
          <cell r="D621" t="str">
            <v>383</v>
          </cell>
          <cell r="E621" t="str">
            <v>神川町</v>
          </cell>
          <cell r="F621" t="str">
            <v>02</v>
          </cell>
          <cell r="G621" t="str">
            <v>特環 単独</v>
          </cell>
          <cell r="H621" t="str">
            <v>特定環境保全公共下水道</v>
          </cell>
          <cell r="I621" t="str">
            <v>単独</v>
          </cell>
          <cell r="J621" t="str">
            <v>001</v>
          </cell>
          <cell r="K621" t="str">
            <v>渡瀬浄化センター</v>
          </cell>
          <cell r="M621" t="str">
            <v>1</v>
          </cell>
          <cell r="N621" t="str">
            <v>1</v>
          </cell>
          <cell r="Q621">
            <v>38817</v>
          </cell>
          <cell r="R621" t="str">
            <v>平成</v>
          </cell>
          <cell r="S621">
            <v>18</v>
          </cell>
          <cell r="T621">
            <v>4</v>
          </cell>
          <cell r="AB621">
            <v>3876</v>
          </cell>
          <cell r="AC621" t="str">
            <v>神流川　藤武橋</v>
          </cell>
          <cell r="AD621" t="str">
            <v>Ａ</v>
          </cell>
          <cell r="AE621" t="str">
            <v>ロ</v>
          </cell>
          <cell r="AF621">
            <v>15</v>
          </cell>
          <cell r="AG621">
            <v>20</v>
          </cell>
          <cell r="AH621">
            <v>2</v>
          </cell>
          <cell r="AK621" t="str">
            <v>神流川</v>
          </cell>
          <cell r="AL621" t="str">
            <v>第３水源</v>
          </cell>
          <cell r="AM621">
            <v>0.5</v>
          </cell>
          <cell r="AO621" t="str">
            <v>藤岡市</v>
          </cell>
          <cell r="AQ621" t="str">
            <v/>
          </cell>
          <cell r="AR621" t="str">
            <v>オキシディションディッチ法</v>
          </cell>
          <cell r="AS621" t="str">
            <v>1138302001</v>
          </cell>
          <cell r="AT621" t="str">
            <v/>
          </cell>
          <cell r="AU621" t="str">
            <v>10</v>
          </cell>
          <cell r="AV621" t="str">
            <v>10</v>
          </cell>
          <cell r="AW621">
            <v>0</v>
          </cell>
          <cell r="AX621">
            <v>0</v>
          </cell>
          <cell r="AY621">
            <v>0</v>
          </cell>
          <cell r="AZ621">
            <v>0</v>
          </cell>
          <cell r="BA621">
            <v>0</v>
          </cell>
          <cell r="BD621" t="str">
            <v/>
          </cell>
          <cell r="BE621">
            <v>1</v>
          </cell>
          <cell r="BG621" t="str">
            <v>1100</v>
          </cell>
        </row>
        <row r="622">
          <cell r="B622" t="str">
            <v>G118010106100100</v>
          </cell>
          <cell r="C622" t="str">
            <v>11.埼玉県</v>
          </cell>
          <cell r="D622" t="str">
            <v>801</v>
          </cell>
          <cell r="E622" t="str">
            <v>坂戸、鶴ヶ島下水道組合</v>
          </cell>
          <cell r="F622" t="str">
            <v>01</v>
          </cell>
          <cell r="G622" t="str">
            <v>公共 単独</v>
          </cell>
          <cell r="H622" t="str">
            <v>公共下水道</v>
          </cell>
          <cell r="I622" t="str">
            <v>単独</v>
          </cell>
          <cell r="J622" t="str">
            <v>001</v>
          </cell>
          <cell r="K622" t="str">
            <v>北坂戸水処理センター</v>
          </cell>
          <cell r="M622" t="str">
            <v>1</v>
          </cell>
          <cell r="N622" t="str">
            <v>1</v>
          </cell>
          <cell r="Q622">
            <v>26908</v>
          </cell>
          <cell r="R622" t="str">
            <v>昭和</v>
          </cell>
          <cell r="S622">
            <v>48</v>
          </cell>
          <cell r="T622">
            <v>9</v>
          </cell>
          <cell r="AB622">
            <v>20100</v>
          </cell>
          <cell r="AC622" t="str">
            <v>越辺川下流</v>
          </cell>
          <cell r="AD622" t="str">
            <v>Ｂ</v>
          </cell>
          <cell r="AE622" t="str">
            <v>ロ</v>
          </cell>
          <cell r="AK622" t="str">
            <v>飯盛川</v>
          </cell>
          <cell r="AL622" t="str">
            <v>大久保浄水場第一取水口</v>
          </cell>
          <cell r="AN622">
            <v>29</v>
          </cell>
          <cell r="AO622" t="str">
            <v>川越市他</v>
          </cell>
          <cell r="AQ622" t="str">
            <v/>
          </cell>
          <cell r="AR622" t="str">
            <v>標準活性汚泥法</v>
          </cell>
          <cell r="AS622" t="str">
            <v>1180101001</v>
          </cell>
          <cell r="AT622" t="str">
            <v/>
          </cell>
          <cell r="AU622" t="str">
            <v>10</v>
          </cell>
          <cell r="AV622" t="str">
            <v>10</v>
          </cell>
          <cell r="AW622">
            <v>0</v>
          </cell>
          <cell r="AX622">
            <v>0</v>
          </cell>
          <cell r="AY622">
            <v>0</v>
          </cell>
          <cell r="AZ622">
            <v>0</v>
          </cell>
          <cell r="BA622">
            <v>0</v>
          </cell>
          <cell r="BD622" t="str">
            <v/>
          </cell>
          <cell r="BE622">
            <v>1</v>
          </cell>
          <cell r="BG622" t="str">
            <v>1100</v>
          </cell>
        </row>
        <row r="623">
          <cell r="B623" t="str">
            <v>G118010106100200</v>
          </cell>
          <cell r="C623" t="str">
            <v>11.埼玉県</v>
          </cell>
          <cell r="D623" t="str">
            <v>801</v>
          </cell>
          <cell r="E623" t="str">
            <v>坂戸、鶴ヶ島下水道組合</v>
          </cell>
          <cell r="F623" t="str">
            <v>01</v>
          </cell>
          <cell r="G623" t="str">
            <v>公共 単独</v>
          </cell>
          <cell r="H623" t="str">
            <v>公共下水道</v>
          </cell>
          <cell r="I623" t="str">
            <v>単独</v>
          </cell>
          <cell r="J623" t="str">
            <v>002</v>
          </cell>
          <cell r="K623" t="str">
            <v>石井水処理センター</v>
          </cell>
          <cell r="M623" t="str">
            <v>1</v>
          </cell>
          <cell r="N623" t="str">
            <v>1</v>
          </cell>
          <cell r="P623" t="str">
            <v>1</v>
          </cell>
          <cell r="Q623">
            <v>34639</v>
          </cell>
          <cell r="R623" t="str">
            <v>平成</v>
          </cell>
          <cell r="S623">
            <v>6</v>
          </cell>
          <cell r="T623">
            <v>11</v>
          </cell>
          <cell r="AB623">
            <v>113500</v>
          </cell>
          <cell r="AC623" t="str">
            <v>越辺川下流</v>
          </cell>
          <cell r="AD623" t="str">
            <v>Ｂ</v>
          </cell>
          <cell r="AE623" t="str">
            <v>ロ</v>
          </cell>
          <cell r="AK623" t="str">
            <v>飯盛川</v>
          </cell>
          <cell r="AL623" t="str">
            <v>大久保浄水場第一取水口</v>
          </cell>
          <cell r="AN623">
            <v>22</v>
          </cell>
          <cell r="AO623" t="str">
            <v>川越市他</v>
          </cell>
          <cell r="AQ623" t="str">
            <v/>
          </cell>
          <cell r="AR623" t="str">
            <v>標準活性汚泥法</v>
          </cell>
          <cell r="AS623" t="str">
            <v>1180101002</v>
          </cell>
          <cell r="AT623" t="str">
            <v/>
          </cell>
          <cell r="AU623" t="str">
            <v>10</v>
          </cell>
          <cell r="AV623" t="str">
            <v>10</v>
          </cell>
          <cell r="AW623">
            <v>1</v>
          </cell>
          <cell r="AX623">
            <v>0</v>
          </cell>
          <cell r="AY623">
            <v>0</v>
          </cell>
          <cell r="AZ623">
            <v>0</v>
          </cell>
          <cell r="BA623">
            <v>0</v>
          </cell>
          <cell r="BD623" t="str">
            <v/>
          </cell>
          <cell r="BE623">
            <v>1</v>
          </cell>
          <cell r="BG623" t="str">
            <v>1101</v>
          </cell>
        </row>
        <row r="624">
          <cell r="B624" t="str">
            <v>G118020106100100</v>
          </cell>
          <cell r="C624" t="str">
            <v>11.埼玉県</v>
          </cell>
          <cell r="D624" t="str">
            <v>802</v>
          </cell>
          <cell r="E624" t="str">
            <v>毛呂山･越生･鳩山公共下水道組合</v>
          </cell>
          <cell r="F624" t="str">
            <v>01</v>
          </cell>
          <cell r="G624" t="str">
            <v>公共 単独</v>
          </cell>
          <cell r="H624" t="str">
            <v>公共下水道</v>
          </cell>
          <cell r="I624" t="str">
            <v>単独</v>
          </cell>
          <cell r="J624" t="str">
            <v>001</v>
          </cell>
          <cell r="K624" t="str">
            <v>毛呂山処理センター</v>
          </cell>
          <cell r="M624" t="str">
            <v>1</v>
          </cell>
          <cell r="N624" t="str">
            <v>1</v>
          </cell>
          <cell r="P624" t="str">
            <v>1</v>
          </cell>
          <cell r="Q624">
            <v>32599</v>
          </cell>
          <cell r="R624" t="str">
            <v>平成</v>
          </cell>
          <cell r="S624">
            <v>1</v>
          </cell>
          <cell r="T624">
            <v>4</v>
          </cell>
          <cell r="AB624">
            <v>79000</v>
          </cell>
          <cell r="AC624" t="str">
            <v>越辺川</v>
          </cell>
          <cell r="AD624" t="str">
            <v>Ａ</v>
          </cell>
          <cell r="AE624" t="str">
            <v>ハ</v>
          </cell>
          <cell r="AK624" t="str">
            <v>越辺川</v>
          </cell>
          <cell r="AQ624" t="str">
            <v/>
          </cell>
          <cell r="AR624" t="str">
            <v>標準活性汚泥法</v>
          </cell>
          <cell r="AS624" t="str">
            <v>1180201001</v>
          </cell>
          <cell r="AT624" t="str">
            <v/>
          </cell>
          <cell r="AU624" t="str">
            <v>10</v>
          </cell>
          <cell r="AV624" t="str">
            <v>10</v>
          </cell>
          <cell r="AW624">
            <v>1</v>
          </cell>
          <cell r="AX624">
            <v>0</v>
          </cell>
          <cell r="AY624">
            <v>0</v>
          </cell>
          <cell r="AZ624">
            <v>0</v>
          </cell>
          <cell r="BA624">
            <v>0</v>
          </cell>
          <cell r="BD624" t="str">
            <v/>
          </cell>
          <cell r="BE624">
            <v>1</v>
          </cell>
          <cell r="BG624" t="str">
            <v>1101</v>
          </cell>
        </row>
        <row r="625">
          <cell r="B625" t="str">
            <v>G118030206100100</v>
          </cell>
          <cell r="C625" t="str">
            <v>11.埼玉県</v>
          </cell>
          <cell r="D625" t="str">
            <v>803</v>
          </cell>
          <cell r="E625" t="str">
            <v>皆野・長瀞上下水道組合</v>
          </cell>
          <cell r="F625" t="str">
            <v>02</v>
          </cell>
          <cell r="G625" t="str">
            <v>特環 単独</v>
          </cell>
          <cell r="H625" t="str">
            <v>特定環境保全公共下水道</v>
          </cell>
          <cell r="I625" t="str">
            <v>単独</v>
          </cell>
          <cell r="J625" t="str">
            <v>001</v>
          </cell>
          <cell r="K625" t="str">
            <v>長瀞浄化センター</v>
          </cell>
          <cell r="M625" t="str">
            <v>1</v>
          </cell>
          <cell r="N625" t="str">
            <v>1</v>
          </cell>
          <cell r="Q625">
            <v>35704</v>
          </cell>
          <cell r="R625" t="str">
            <v>平成</v>
          </cell>
          <cell r="S625">
            <v>9</v>
          </cell>
          <cell r="T625">
            <v>10</v>
          </cell>
          <cell r="AB625">
            <v>12290</v>
          </cell>
          <cell r="AC625" t="str">
            <v>荒川</v>
          </cell>
          <cell r="AD625" t="str">
            <v>Ａ</v>
          </cell>
          <cell r="AE625" t="str">
            <v>イ</v>
          </cell>
          <cell r="AF625">
            <v>15</v>
          </cell>
          <cell r="AK625" t="str">
            <v>荒川</v>
          </cell>
          <cell r="AQ625" t="str">
            <v/>
          </cell>
          <cell r="AR625" t="str">
            <v>好気性ろ床法</v>
          </cell>
          <cell r="AS625" t="str">
            <v>1180302001</v>
          </cell>
          <cell r="AT625" t="str">
            <v/>
          </cell>
          <cell r="AU625" t="str">
            <v>10</v>
          </cell>
          <cell r="AV625" t="str">
            <v>10</v>
          </cell>
          <cell r="AW625">
            <v>0</v>
          </cell>
          <cell r="AX625">
            <v>0</v>
          </cell>
          <cell r="AY625">
            <v>0</v>
          </cell>
          <cell r="AZ625">
            <v>0</v>
          </cell>
          <cell r="BA625">
            <v>0</v>
          </cell>
          <cell r="BD625" t="str">
            <v/>
          </cell>
          <cell r="BE625">
            <v>1</v>
          </cell>
          <cell r="BG625" t="str">
            <v>1100</v>
          </cell>
        </row>
        <row r="626">
          <cell r="B626" t="str">
            <v>G120018106100100</v>
          </cell>
          <cell r="C626" t="str">
            <v>12.千葉県</v>
          </cell>
          <cell r="D626" t="str">
            <v>001</v>
          </cell>
          <cell r="E626" t="str">
            <v>印旛沼流域</v>
          </cell>
          <cell r="F626" t="str">
            <v>81</v>
          </cell>
          <cell r="G626" t="str">
            <v>流域</v>
          </cell>
          <cell r="H626" t="str">
            <v>流域下水道</v>
          </cell>
          <cell r="I626" t="str">
            <v/>
          </cell>
          <cell r="J626" t="str">
            <v>001</v>
          </cell>
          <cell r="K626" t="str">
            <v>花見川終末処理場</v>
          </cell>
          <cell r="M626" t="str">
            <v>1</v>
          </cell>
          <cell r="N626" t="str">
            <v>1</v>
          </cell>
          <cell r="P626" t="str">
            <v>1</v>
          </cell>
          <cell r="Q626">
            <v>27120</v>
          </cell>
          <cell r="R626" t="str">
            <v>昭和</v>
          </cell>
          <cell r="S626">
            <v>49</v>
          </cell>
          <cell r="T626">
            <v>4</v>
          </cell>
          <cell r="AB626">
            <v>210230</v>
          </cell>
          <cell r="AC626" t="str">
            <v>印旛放水路(下流）</v>
          </cell>
          <cell r="AD626" t="str">
            <v>Ｃ</v>
          </cell>
          <cell r="AE626" t="str">
            <v>イ</v>
          </cell>
          <cell r="AF626">
            <v>15</v>
          </cell>
          <cell r="AK626" t="str">
            <v>印旛放水路</v>
          </cell>
          <cell r="AL626" t="str">
            <v>印旛取水場</v>
          </cell>
          <cell r="AM626">
            <v>30</v>
          </cell>
          <cell r="AQ626" t="str">
            <v/>
          </cell>
          <cell r="AR626" t="str">
            <v>標準活性汚泥法</v>
          </cell>
          <cell r="AS626" t="str">
            <v>1200181001</v>
          </cell>
          <cell r="AT626" t="str">
            <v/>
          </cell>
          <cell r="AU626" t="str">
            <v>10</v>
          </cell>
          <cell r="AV626" t="str">
            <v>10</v>
          </cell>
          <cell r="AW626">
            <v>1</v>
          </cell>
          <cell r="AX626">
            <v>0</v>
          </cell>
          <cell r="AY626">
            <v>0</v>
          </cell>
          <cell r="AZ626">
            <v>0</v>
          </cell>
          <cell r="BA626">
            <v>0</v>
          </cell>
          <cell r="BD626" t="str">
            <v/>
          </cell>
          <cell r="BE626">
            <v>1</v>
          </cell>
          <cell r="BG626" t="str">
            <v>1101</v>
          </cell>
        </row>
        <row r="627">
          <cell r="B627" t="str">
            <v>G120018106100200</v>
          </cell>
          <cell r="C627" t="str">
            <v>12.千葉県</v>
          </cell>
          <cell r="D627" t="str">
            <v>001</v>
          </cell>
          <cell r="E627" t="str">
            <v>印旛沼流域</v>
          </cell>
          <cell r="F627" t="str">
            <v>81</v>
          </cell>
          <cell r="G627" t="str">
            <v>流域</v>
          </cell>
          <cell r="H627" t="str">
            <v>流域下水道</v>
          </cell>
          <cell r="I627" t="str">
            <v/>
          </cell>
          <cell r="J627" t="str">
            <v>002</v>
          </cell>
          <cell r="K627" t="str">
            <v>花見川第二終末処理場</v>
          </cell>
          <cell r="M627" t="str">
            <v>1</v>
          </cell>
          <cell r="N627" t="str">
            <v>1</v>
          </cell>
          <cell r="Q627">
            <v>34486</v>
          </cell>
          <cell r="R627" t="str">
            <v>平成</v>
          </cell>
          <cell r="S627">
            <v>6</v>
          </cell>
          <cell r="T627">
            <v>6</v>
          </cell>
          <cell r="AB627">
            <v>239444</v>
          </cell>
          <cell r="AF627">
            <v>8</v>
          </cell>
          <cell r="AG627">
            <v>11</v>
          </cell>
          <cell r="AH627">
            <v>1.5</v>
          </cell>
          <cell r="AJ627" t="str">
            <v>浜田川、菊田川</v>
          </cell>
          <cell r="AP627" t="str">
            <v>計画放流水質3系は記載のとおり（1・2系はBOD8mg/lのみ）</v>
          </cell>
          <cell r="AQ627" t="str">
            <v/>
          </cell>
          <cell r="AR627" t="str">
            <v>標準活性汚泥法</v>
          </cell>
          <cell r="AS627" t="str">
            <v>1200181002</v>
          </cell>
          <cell r="AT627" t="str">
            <v/>
          </cell>
          <cell r="AU627" t="str">
            <v>10</v>
          </cell>
          <cell r="AV627" t="str">
            <v>10</v>
          </cell>
          <cell r="AW627">
            <v>0</v>
          </cell>
          <cell r="AX627">
            <v>0</v>
          </cell>
          <cell r="AY627">
            <v>0</v>
          </cell>
          <cell r="AZ627">
            <v>0</v>
          </cell>
          <cell r="BA627">
            <v>0</v>
          </cell>
          <cell r="BD627" t="str">
            <v/>
          </cell>
          <cell r="BE627">
            <v>1</v>
          </cell>
          <cell r="BG627" t="str">
            <v>1100</v>
          </cell>
        </row>
        <row r="628">
          <cell r="B628" t="str">
            <v>G120028106100100</v>
          </cell>
          <cell r="C628" t="str">
            <v>12.千葉県</v>
          </cell>
          <cell r="D628" t="str">
            <v>002</v>
          </cell>
          <cell r="E628" t="str">
            <v>手賀沼流域</v>
          </cell>
          <cell r="F628" t="str">
            <v>81</v>
          </cell>
          <cell r="G628" t="str">
            <v>流域</v>
          </cell>
          <cell r="H628" t="str">
            <v>流域下水道</v>
          </cell>
          <cell r="I628" t="str">
            <v/>
          </cell>
          <cell r="J628" t="str">
            <v>001</v>
          </cell>
          <cell r="K628" t="str">
            <v>手賀沼終末処理場</v>
          </cell>
          <cell r="M628" t="str">
            <v>1</v>
          </cell>
          <cell r="N628" t="str">
            <v>1</v>
          </cell>
          <cell r="O628" t="str">
            <v>1</v>
          </cell>
          <cell r="Q628">
            <v>29677</v>
          </cell>
          <cell r="R628" t="str">
            <v>昭和</v>
          </cell>
          <cell r="S628">
            <v>56</v>
          </cell>
          <cell r="T628">
            <v>4</v>
          </cell>
          <cell r="AB628">
            <v>415000</v>
          </cell>
          <cell r="AC628" t="str">
            <v>利根川下流</v>
          </cell>
          <cell r="AD628" t="str">
            <v>Ａ</v>
          </cell>
          <cell r="AE628" t="str">
            <v>イ</v>
          </cell>
          <cell r="AK628" t="str">
            <v>利根川</v>
          </cell>
          <cell r="AL628" t="str">
            <v>北総浄水場　木下取水場</v>
          </cell>
          <cell r="AM628">
            <v>0.4</v>
          </cell>
          <cell r="AO628" t="str">
            <v>千葉市、市川市、船橋市、浦安市、成田市、印西市、白井市、栄町</v>
          </cell>
          <cell r="AQ628" t="str">
            <v/>
          </cell>
          <cell r="AR628" t="str">
            <v>標準活性汚泥法</v>
          </cell>
          <cell r="AS628" t="str">
            <v>1200281001</v>
          </cell>
          <cell r="AT628" t="str">
            <v/>
          </cell>
          <cell r="AU628" t="str">
            <v>11</v>
          </cell>
          <cell r="AV628" t="str">
            <v>10</v>
          </cell>
          <cell r="AW628">
            <v>0</v>
          </cell>
          <cell r="AX628">
            <v>0</v>
          </cell>
          <cell r="AY628">
            <v>-1</v>
          </cell>
          <cell r="AZ628">
            <v>0</v>
          </cell>
          <cell r="BA628">
            <v>1</v>
          </cell>
          <cell r="BC628" t="str">
            <v>建設資材休止</v>
          </cell>
          <cell r="BD628" t="str">
            <v>建設資材休止</v>
          </cell>
          <cell r="BE628">
            <v>1</v>
          </cell>
          <cell r="BG628" t="str">
            <v>1110</v>
          </cell>
        </row>
        <row r="629">
          <cell r="B629" t="str">
            <v>G120038106100100</v>
          </cell>
          <cell r="C629" t="str">
            <v>12.千葉県</v>
          </cell>
          <cell r="D629" t="str">
            <v>003</v>
          </cell>
          <cell r="E629" t="str">
            <v>江戸川左岸流域</v>
          </cell>
          <cell r="F629" t="str">
            <v>81</v>
          </cell>
          <cell r="G629" t="str">
            <v>流域</v>
          </cell>
          <cell r="H629" t="str">
            <v>流域下水道</v>
          </cell>
          <cell r="I629" t="str">
            <v/>
          </cell>
          <cell r="J629" t="str">
            <v>001</v>
          </cell>
          <cell r="K629" t="str">
            <v>江戸川第二終末処理場</v>
          </cell>
          <cell r="M629" t="str">
            <v>1</v>
          </cell>
          <cell r="N629" t="str">
            <v>1</v>
          </cell>
          <cell r="P629" t="str">
            <v>1</v>
          </cell>
          <cell r="Q629">
            <v>29677</v>
          </cell>
          <cell r="R629" t="str">
            <v>昭和</v>
          </cell>
          <cell r="S629">
            <v>56</v>
          </cell>
          <cell r="T629">
            <v>4</v>
          </cell>
          <cell r="AB629">
            <v>261167</v>
          </cell>
          <cell r="AC629" t="str">
            <v>江戸川下流(2)</v>
          </cell>
          <cell r="AD629" t="str">
            <v>Ｂ</v>
          </cell>
          <cell r="AE629" t="str">
            <v>イ</v>
          </cell>
          <cell r="AF629">
            <v>15</v>
          </cell>
          <cell r="AK629" t="str">
            <v>旧江戸川</v>
          </cell>
          <cell r="AL629" t="str">
            <v>矢切(栗山浄水場、ちば野菊の里浄水場)</v>
          </cell>
          <cell r="AM629">
            <v>10.7</v>
          </cell>
          <cell r="AO629" t="str">
            <v>市川市、松戸市、船橋市</v>
          </cell>
          <cell r="AP629" t="str">
            <v xml:space="preserve">計画放流水質は1～4系列の数値 </v>
          </cell>
          <cell r="AQ629" t="str">
            <v/>
          </cell>
          <cell r="AR629" t="str">
            <v>標準活性汚泥法</v>
          </cell>
          <cell r="AS629" t="str">
            <v>1200381001</v>
          </cell>
          <cell r="AT629" t="str">
            <v/>
          </cell>
          <cell r="AU629" t="str">
            <v>10</v>
          </cell>
          <cell r="AV629" t="str">
            <v>10</v>
          </cell>
          <cell r="AW629">
            <v>1</v>
          </cell>
          <cell r="AX629">
            <v>0</v>
          </cell>
          <cell r="AY629">
            <v>0</v>
          </cell>
          <cell r="AZ629">
            <v>0</v>
          </cell>
          <cell r="BA629">
            <v>0</v>
          </cell>
          <cell r="BD629" t="str">
            <v/>
          </cell>
          <cell r="BE629">
            <v>1</v>
          </cell>
          <cell r="BG629" t="str">
            <v>1101</v>
          </cell>
        </row>
        <row r="630">
          <cell r="B630" t="str">
            <v>G121000106100100</v>
          </cell>
          <cell r="C630" t="str">
            <v>12.千葉県</v>
          </cell>
          <cell r="D630" t="str">
            <v>100</v>
          </cell>
          <cell r="E630" t="str">
            <v>千葉市</v>
          </cell>
          <cell r="F630" t="str">
            <v>01</v>
          </cell>
          <cell r="G630" t="str">
            <v>公共 単独</v>
          </cell>
          <cell r="H630" t="str">
            <v>公共下水道</v>
          </cell>
          <cell r="I630" t="str">
            <v>単独</v>
          </cell>
          <cell r="J630" t="str">
            <v>001</v>
          </cell>
          <cell r="K630" t="str">
            <v>中央浄化センター</v>
          </cell>
          <cell r="M630" t="str">
            <v>1</v>
          </cell>
          <cell r="Q630">
            <v>24990</v>
          </cell>
          <cell r="R630" t="str">
            <v>昭和</v>
          </cell>
          <cell r="S630">
            <v>43</v>
          </cell>
          <cell r="T630">
            <v>6</v>
          </cell>
          <cell r="AB630">
            <v>68985</v>
          </cell>
          <cell r="AC630" t="str">
            <v>東京湾</v>
          </cell>
          <cell r="AD630" t="str">
            <v>Ｃ</v>
          </cell>
          <cell r="AE630" t="str">
            <v>イ</v>
          </cell>
          <cell r="AF630">
            <v>15</v>
          </cell>
          <cell r="AI630" t="str">
            <v>海域</v>
          </cell>
          <cell r="AQ630" t="str">
            <v/>
          </cell>
          <cell r="AR630" t="str">
            <v>標準活性汚泥法</v>
          </cell>
          <cell r="AS630" t="str">
            <v>1210001001</v>
          </cell>
          <cell r="AT630" t="str">
            <v/>
          </cell>
          <cell r="AU630" t="str">
            <v>00</v>
          </cell>
          <cell r="AV630" t="str">
            <v>00</v>
          </cell>
          <cell r="AW630">
            <v>0</v>
          </cell>
          <cell r="AX630">
            <v>0</v>
          </cell>
          <cell r="AY630">
            <v>0</v>
          </cell>
          <cell r="AZ630">
            <v>0</v>
          </cell>
          <cell r="BA630">
            <v>0</v>
          </cell>
          <cell r="BD630" t="str">
            <v/>
          </cell>
          <cell r="BE630">
            <v>1</v>
          </cell>
          <cell r="BG630" t="str">
            <v>1000</v>
          </cell>
        </row>
        <row r="631">
          <cell r="B631" t="str">
            <v>G121000106100200</v>
          </cell>
          <cell r="C631" t="str">
            <v>12.千葉県</v>
          </cell>
          <cell r="D631" t="str">
            <v>100</v>
          </cell>
          <cell r="E631" t="str">
            <v>千葉市</v>
          </cell>
          <cell r="F631" t="str">
            <v>01</v>
          </cell>
          <cell r="G631" t="str">
            <v>公共 単独</v>
          </cell>
          <cell r="H631" t="str">
            <v>公共下水道</v>
          </cell>
          <cell r="I631" t="str">
            <v>単独</v>
          </cell>
          <cell r="J631" t="str">
            <v>002</v>
          </cell>
          <cell r="K631" t="str">
            <v>南部浄化センター</v>
          </cell>
          <cell r="M631" t="str">
            <v>1</v>
          </cell>
          <cell r="N631" t="str">
            <v>1</v>
          </cell>
          <cell r="P631" t="str">
            <v>1</v>
          </cell>
          <cell r="Q631">
            <v>29677</v>
          </cell>
          <cell r="R631" t="str">
            <v>昭和</v>
          </cell>
          <cell r="S631">
            <v>56</v>
          </cell>
          <cell r="T631">
            <v>4</v>
          </cell>
          <cell r="AB631">
            <v>225000</v>
          </cell>
          <cell r="AC631" t="str">
            <v>千葉港（甲）</v>
          </cell>
          <cell r="AD631" t="str">
            <v>Ｃ</v>
          </cell>
          <cell r="AE631" t="str">
            <v>イ</v>
          </cell>
          <cell r="AF631">
            <v>10</v>
          </cell>
          <cell r="AG631">
            <v>10</v>
          </cell>
          <cell r="AH631">
            <v>0.5</v>
          </cell>
          <cell r="AI631" t="str">
            <v>海域</v>
          </cell>
          <cell r="AQ631" t="str">
            <v/>
          </cell>
          <cell r="AR631" t="str">
            <v>嫌気無酸素好気法</v>
          </cell>
          <cell r="AS631" t="str">
            <v>1210001002</v>
          </cell>
          <cell r="AT631" t="str">
            <v/>
          </cell>
          <cell r="AU631" t="str">
            <v>10</v>
          </cell>
          <cell r="AV631" t="str">
            <v>10</v>
          </cell>
          <cell r="AW631">
            <v>1</v>
          </cell>
          <cell r="AX631">
            <v>0</v>
          </cell>
          <cell r="AY631">
            <v>0</v>
          </cell>
          <cell r="AZ631">
            <v>0</v>
          </cell>
          <cell r="BA631">
            <v>0</v>
          </cell>
          <cell r="BD631" t="str">
            <v/>
          </cell>
          <cell r="BE631">
            <v>1</v>
          </cell>
          <cell r="BG631" t="str">
            <v>1101</v>
          </cell>
        </row>
        <row r="632">
          <cell r="B632" t="str">
            <v>G122020106100100</v>
          </cell>
          <cell r="C632" t="str">
            <v>12.千葉県</v>
          </cell>
          <cell r="D632" t="str">
            <v>202</v>
          </cell>
          <cell r="E632" t="str">
            <v>銚子市</v>
          </cell>
          <cell r="F632" t="str">
            <v>01</v>
          </cell>
          <cell r="G632" t="str">
            <v>公共 単独</v>
          </cell>
          <cell r="H632" t="str">
            <v>公共下水道</v>
          </cell>
          <cell r="I632" t="str">
            <v>単独</v>
          </cell>
          <cell r="J632" t="str">
            <v>001</v>
          </cell>
          <cell r="K632" t="str">
            <v>芦崎終末処理場</v>
          </cell>
          <cell r="M632" t="str">
            <v>1</v>
          </cell>
          <cell r="N632" t="str">
            <v>1</v>
          </cell>
          <cell r="Q632">
            <v>30771</v>
          </cell>
          <cell r="R632" t="str">
            <v>昭和</v>
          </cell>
          <cell r="S632">
            <v>59</v>
          </cell>
          <cell r="T632">
            <v>3</v>
          </cell>
          <cell r="AB632">
            <v>39300</v>
          </cell>
          <cell r="AC632" t="str">
            <v>利根川下流</v>
          </cell>
          <cell r="AD632" t="str">
            <v>Ａ</v>
          </cell>
          <cell r="AE632" t="str">
            <v>イ</v>
          </cell>
          <cell r="AF632">
            <v>15</v>
          </cell>
          <cell r="AK632" t="str">
            <v>利根川</v>
          </cell>
          <cell r="AL632" t="str">
            <v>利根川取水場</v>
          </cell>
          <cell r="AM632">
            <v>18.5</v>
          </cell>
          <cell r="AO632" t="str">
            <v>香取市</v>
          </cell>
          <cell r="AQ632" t="str">
            <v/>
          </cell>
          <cell r="AR632" t="str">
            <v>標準活性汚泥法</v>
          </cell>
          <cell r="AS632" t="str">
            <v>1220201001</v>
          </cell>
          <cell r="AT632" t="str">
            <v/>
          </cell>
          <cell r="AU632" t="str">
            <v>10</v>
          </cell>
          <cell r="AV632" t="str">
            <v>10</v>
          </cell>
          <cell r="AW632">
            <v>0</v>
          </cell>
          <cell r="AX632">
            <v>0</v>
          </cell>
          <cell r="AY632">
            <v>0</v>
          </cell>
          <cell r="AZ632">
            <v>0</v>
          </cell>
          <cell r="BA632">
            <v>0</v>
          </cell>
          <cell r="BD632" t="str">
            <v/>
          </cell>
          <cell r="BE632">
            <v>1</v>
          </cell>
          <cell r="BG632" t="str">
            <v>1100</v>
          </cell>
        </row>
        <row r="633">
          <cell r="B633" t="str">
            <v>G122030106100100</v>
          </cell>
          <cell r="C633" t="str">
            <v>12.千葉県</v>
          </cell>
          <cell r="D633" t="str">
            <v>203</v>
          </cell>
          <cell r="E633" t="str">
            <v>市川市</v>
          </cell>
          <cell r="F633" t="str">
            <v>01</v>
          </cell>
          <cell r="G633" t="str">
            <v>公共 単独</v>
          </cell>
          <cell r="H633" t="str">
            <v>公共下水道</v>
          </cell>
          <cell r="I633" t="str">
            <v>単独</v>
          </cell>
          <cell r="J633" t="str">
            <v>001</v>
          </cell>
          <cell r="K633" t="str">
            <v>菅野終末処理場</v>
          </cell>
          <cell r="M633" t="str">
            <v>1</v>
          </cell>
          <cell r="N633" t="str">
            <v>1</v>
          </cell>
          <cell r="Q633">
            <v>26390</v>
          </cell>
          <cell r="R633" t="str">
            <v>昭和</v>
          </cell>
          <cell r="S633">
            <v>47</v>
          </cell>
          <cell r="T633">
            <v>4</v>
          </cell>
          <cell r="AB633">
            <v>30168</v>
          </cell>
          <cell r="AC633" t="str">
            <v>真間川</v>
          </cell>
          <cell r="AD633" t="str">
            <v>Ｅ</v>
          </cell>
          <cell r="AE633" t="str">
            <v>ハ</v>
          </cell>
          <cell r="AF633">
            <v>15</v>
          </cell>
          <cell r="AK633" t="str">
            <v>真間川</v>
          </cell>
          <cell r="AQ633" t="str">
            <v/>
          </cell>
          <cell r="AR633" t="str">
            <v>標準活性汚泥法</v>
          </cell>
          <cell r="AS633" t="str">
            <v>1220301001</v>
          </cell>
          <cell r="AT633" t="str">
            <v/>
          </cell>
          <cell r="AU633" t="str">
            <v>10</v>
          </cell>
          <cell r="AV633" t="str">
            <v>10</v>
          </cell>
          <cell r="AW633">
            <v>0</v>
          </cell>
          <cell r="AX633">
            <v>0</v>
          </cell>
          <cell r="AY633">
            <v>0</v>
          </cell>
          <cell r="AZ633">
            <v>0</v>
          </cell>
          <cell r="BA633">
            <v>0</v>
          </cell>
          <cell r="BD633" t="str">
            <v/>
          </cell>
          <cell r="BE633">
            <v>1</v>
          </cell>
          <cell r="BG633" t="str">
            <v>1100</v>
          </cell>
        </row>
        <row r="634">
          <cell r="B634" t="str">
            <v>G122040106100100</v>
          </cell>
          <cell r="C634" t="str">
            <v>12.千葉県</v>
          </cell>
          <cell r="D634" t="str">
            <v>204</v>
          </cell>
          <cell r="E634" t="str">
            <v>船橋市</v>
          </cell>
          <cell r="F634" t="str">
            <v>01</v>
          </cell>
          <cell r="G634" t="str">
            <v>公共 単独</v>
          </cell>
          <cell r="H634" t="str">
            <v>公共下水道</v>
          </cell>
          <cell r="I634" t="str">
            <v>単独</v>
          </cell>
          <cell r="J634" t="str">
            <v>001</v>
          </cell>
          <cell r="K634" t="str">
            <v>西浦下水処理場</v>
          </cell>
          <cell r="M634" t="str">
            <v>1</v>
          </cell>
          <cell r="N634" t="str">
            <v>1</v>
          </cell>
          <cell r="Q634">
            <v>27851</v>
          </cell>
          <cell r="R634" t="str">
            <v>昭和</v>
          </cell>
          <cell r="S634">
            <v>51</v>
          </cell>
          <cell r="T634">
            <v>4</v>
          </cell>
          <cell r="AB634">
            <v>72410</v>
          </cell>
          <cell r="AC634" t="str">
            <v>東京湾</v>
          </cell>
          <cell r="AD634" t="str">
            <v>Ｃ</v>
          </cell>
          <cell r="AE634" t="str">
            <v>ロ</v>
          </cell>
          <cell r="AF634">
            <v>10</v>
          </cell>
          <cell r="AG634">
            <v>15</v>
          </cell>
          <cell r="AH634">
            <v>1.5</v>
          </cell>
          <cell r="AJ634" t="str">
            <v>二俣川</v>
          </cell>
          <cell r="AQ634" t="str">
            <v/>
          </cell>
          <cell r="AR634" t="str">
            <v>ステップ流入式多段硝化脱窒法</v>
          </cell>
          <cell r="AS634" t="str">
            <v>1220401001</v>
          </cell>
          <cell r="AT634" t="str">
            <v/>
          </cell>
          <cell r="AU634" t="str">
            <v>10</v>
          </cell>
          <cell r="AV634" t="str">
            <v>10</v>
          </cell>
          <cell r="AW634">
            <v>0</v>
          </cell>
          <cell r="AX634">
            <v>0</v>
          </cell>
          <cell r="AY634">
            <v>0</v>
          </cell>
          <cell r="AZ634">
            <v>0</v>
          </cell>
          <cell r="BA634">
            <v>0</v>
          </cell>
          <cell r="BD634" t="str">
            <v/>
          </cell>
          <cell r="BE634">
            <v>1</v>
          </cell>
          <cell r="BG634" t="str">
            <v>1100</v>
          </cell>
        </row>
        <row r="635">
          <cell r="B635" t="str">
            <v>G122040106100200</v>
          </cell>
          <cell r="C635" t="str">
            <v>12.千葉県</v>
          </cell>
          <cell r="D635" t="str">
            <v>204</v>
          </cell>
          <cell r="E635" t="str">
            <v>船橋市</v>
          </cell>
          <cell r="F635" t="str">
            <v>01</v>
          </cell>
          <cell r="G635" t="str">
            <v>公共 単独</v>
          </cell>
          <cell r="H635" t="str">
            <v>公共下水道</v>
          </cell>
          <cell r="I635" t="str">
            <v>単独</v>
          </cell>
          <cell r="J635" t="str">
            <v>002</v>
          </cell>
          <cell r="K635" t="str">
            <v>高瀬下水処理場</v>
          </cell>
          <cell r="M635" t="str">
            <v>1</v>
          </cell>
          <cell r="N635" t="str">
            <v>1</v>
          </cell>
          <cell r="Q635">
            <v>36251</v>
          </cell>
          <cell r="R635" t="str">
            <v>平成</v>
          </cell>
          <cell r="S635">
            <v>11</v>
          </cell>
          <cell r="T635">
            <v>4</v>
          </cell>
          <cell r="AB635">
            <v>211650</v>
          </cell>
          <cell r="AC635" t="str">
            <v>東京湾</v>
          </cell>
          <cell r="AD635" t="str">
            <v>Ｃ</v>
          </cell>
          <cell r="AE635" t="str">
            <v>ロ</v>
          </cell>
          <cell r="AF635">
            <v>10</v>
          </cell>
          <cell r="AG635">
            <v>15</v>
          </cell>
          <cell r="AH635">
            <v>1.5</v>
          </cell>
          <cell r="AI635" t="str">
            <v>東京湾</v>
          </cell>
          <cell r="AQ635" t="str">
            <v/>
          </cell>
          <cell r="AR635" t="str">
            <v>嫌気無酸素好気法</v>
          </cell>
          <cell r="AS635" t="str">
            <v>1220401002</v>
          </cell>
          <cell r="AT635" t="str">
            <v/>
          </cell>
          <cell r="AU635" t="str">
            <v>10</v>
          </cell>
          <cell r="AV635" t="str">
            <v>10</v>
          </cell>
          <cell r="AW635">
            <v>0</v>
          </cell>
          <cell r="AX635">
            <v>0</v>
          </cell>
          <cell r="AY635">
            <v>0</v>
          </cell>
          <cell r="AZ635">
            <v>0</v>
          </cell>
          <cell r="BA635">
            <v>0</v>
          </cell>
          <cell r="BD635" t="str">
            <v/>
          </cell>
          <cell r="BE635">
            <v>1</v>
          </cell>
          <cell r="BG635" t="str">
            <v>1100</v>
          </cell>
        </row>
        <row r="636">
          <cell r="B636" t="str">
            <v>G122050106100100</v>
          </cell>
          <cell r="C636" t="str">
            <v>12.千葉県</v>
          </cell>
          <cell r="D636" t="str">
            <v>205</v>
          </cell>
          <cell r="E636" t="str">
            <v>館山市</v>
          </cell>
          <cell r="F636" t="str">
            <v>01</v>
          </cell>
          <cell r="G636" t="str">
            <v>公共 単独</v>
          </cell>
          <cell r="H636" t="str">
            <v>公共下水道</v>
          </cell>
          <cell r="I636" t="str">
            <v>単独</v>
          </cell>
          <cell r="J636" t="str">
            <v>001</v>
          </cell>
          <cell r="K636" t="str">
            <v>館山市鏡ケ浦クリーンセンター</v>
          </cell>
          <cell r="M636" t="str">
            <v>1</v>
          </cell>
          <cell r="N636" t="str">
            <v>1</v>
          </cell>
          <cell r="Q636">
            <v>35886</v>
          </cell>
          <cell r="R636" t="str">
            <v>平成</v>
          </cell>
          <cell r="S636">
            <v>10</v>
          </cell>
          <cell r="T636">
            <v>4</v>
          </cell>
          <cell r="AB636">
            <v>39345</v>
          </cell>
          <cell r="AC636" t="str">
            <v>設定なし</v>
          </cell>
          <cell r="AF636">
            <v>10</v>
          </cell>
          <cell r="AJ636" t="str">
            <v>平久里川</v>
          </cell>
          <cell r="AQ636" t="str">
            <v/>
          </cell>
          <cell r="AR636" t="str">
            <v>標準活性汚泥法</v>
          </cell>
          <cell r="AS636" t="str">
            <v>1220501001</v>
          </cell>
          <cell r="AT636" t="str">
            <v/>
          </cell>
          <cell r="AU636" t="str">
            <v>10</v>
          </cell>
          <cell r="AV636" t="str">
            <v>10</v>
          </cell>
          <cell r="AW636">
            <v>0</v>
          </cell>
          <cell r="AX636">
            <v>0</v>
          </cell>
          <cell r="AY636">
            <v>0</v>
          </cell>
          <cell r="AZ636">
            <v>0</v>
          </cell>
          <cell r="BA636">
            <v>0</v>
          </cell>
          <cell r="BD636" t="str">
            <v/>
          </cell>
          <cell r="BE636">
            <v>1</v>
          </cell>
          <cell r="BG636" t="str">
            <v>1100</v>
          </cell>
        </row>
        <row r="637">
          <cell r="B637" t="str">
            <v>G122060106100100</v>
          </cell>
          <cell r="C637" t="str">
            <v>12.千葉県</v>
          </cell>
          <cell r="D637" t="str">
            <v>206</v>
          </cell>
          <cell r="E637" t="str">
            <v>木更津市</v>
          </cell>
          <cell r="F637" t="str">
            <v>01</v>
          </cell>
          <cell r="G637" t="str">
            <v>公共 単独</v>
          </cell>
          <cell r="H637" t="str">
            <v>公共下水道</v>
          </cell>
          <cell r="I637" t="str">
            <v>単独</v>
          </cell>
          <cell r="J637" t="str">
            <v>001</v>
          </cell>
          <cell r="K637" t="str">
            <v>木更津下水処理場</v>
          </cell>
          <cell r="M637" t="str">
            <v>1</v>
          </cell>
          <cell r="N637" t="str">
            <v>1</v>
          </cell>
          <cell r="Q637">
            <v>31107</v>
          </cell>
          <cell r="R637" t="str">
            <v>昭和</v>
          </cell>
          <cell r="S637">
            <v>60</v>
          </cell>
          <cell r="T637">
            <v>3</v>
          </cell>
          <cell r="AB637">
            <v>118470</v>
          </cell>
          <cell r="AC637" t="str">
            <v>東京湾</v>
          </cell>
          <cell r="AD637" t="str">
            <v>Ｃ</v>
          </cell>
          <cell r="AE637" t="str">
            <v>イ</v>
          </cell>
          <cell r="AF637">
            <v>15</v>
          </cell>
          <cell r="AG637">
            <v>15</v>
          </cell>
          <cell r="AH637">
            <v>1</v>
          </cell>
          <cell r="AI637" t="str">
            <v>東京湾</v>
          </cell>
          <cell r="AQ637" t="str">
            <v/>
          </cell>
          <cell r="AR637" t="str">
            <v>嫌気無酸素好気法</v>
          </cell>
          <cell r="AS637" t="str">
            <v>1220601001</v>
          </cell>
          <cell r="AT637" t="str">
            <v/>
          </cell>
          <cell r="AU637" t="str">
            <v>10</v>
          </cell>
          <cell r="AV637" t="str">
            <v>10</v>
          </cell>
          <cell r="AW637">
            <v>0</v>
          </cell>
          <cell r="AX637">
            <v>0</v>
          </cell>
          <cell r="AY637">
            <v>0</v>
          </cell>
          <cell r="AZ637">
            <v>0</v>
          </cell>
          <cell r="BA637">
            <v>0</v>
          </cell>
          <cell r="BD637" t="str">
            <v/>
          </cell>
          <cell r="BE637">
            <v>1</v>
          </cell>
          <cell r="BG637" t="str">
            <v>1100</v>
          </cell>
        </row>
        <row r="638">
          <cell r="B638" t="str">
            <v>G122070106100100</v>
          </cell>
          <cell r="C638" t="str">
            <v>12.千葉県</v>
          </cell>
          <cell r="D638" t="str">
            <v>207</v>
          </cell>
          <cell r="E638" t="str">
            <v>松戸市</v>
          </cell>
          <cell r="F638" t="str">
            <v>01</v>
          </cell>
          <cell r="G638" t="str">
            <v>公共 単独</v>
          </cell>
          <cell r="H638" t="str">
            <v>公共下水道</v>
          </cell>
          <cell r="I638" t="str">
            <v>単独</v>
          </cell>
          <cell r="J638" t="str">
            <v>001</v>
          </cell>
          <cell r="K638" t="str">
            <v>金ヶ作終末処理場</v>
          </cell>
          <cell r="M638" t="str">
            <v>1</v>
          </cell>
          <cell r="N638" t="str">
            <v>1</v>
          </cell>
          <cell r="Q638">
            <v>22007</v>
          </cell>
          <cell r="R638" t="str">
            <v>昭和</v>
          </cell>
          <cell r="S638">
            <v>35</v>
          </cell>
          <cell r="T638">
            <v>4</v>
          </cell>
          <cell r="AB638">
            <v>18708</v>
          </cell>
          <cell r="AC638" t="str">
            <v>春木川</v>
          </cell>
          <cell r="AD638" t="str">
            <v>Ｅ</v>
          </cell>
          <cell r="AE638" t="str">
            <v>ハ</v>
          </cell>
          <cell r="AF638">
            <v>15</v>
          </cell>
          <cell r="AI638" t="str">
            <v>春木川</v>
          </cell>
          <cell r="AK638" t="str">
            <v>国分川</v>
          </cell>
          <cell r="AQ638" t="str">
            <v/>
          </cell>
          <cell r="AR638" t="str">
            <v>標準活性汚泥法</v>
          </cell>
          <cell r="AS638" t="str">
            <v>1220701001</v>
          </cell>
          <cell r="AT638" t="str">
            <v/>
          </cell>
          <cell r="AU638" t="str">
            <v>10</v>
          </cell>
          <cell r="AV638" t="str">
            <v>10</v>
          </cell>
          <cell r="AW638">
            <v>0</v>
          </cell>
          <cell r="AX638">
            <v>0</v>
          </cell>
          <cell r="AY638">
            <v>0</v>
          </cell>
          <cell r="AZ638">
            <v>0</v>
          </cell>
          <cell r="BA638">
            <v>0</v>
          </cell>
          <cell r="BD638" t="str">
            <v/>
          </cell>
          <cell r="BE638">
            <v>1</v>
          </cell>
          <cell r="BG638" t="str">
            <v>1100</v>
          </cell>
        </row>
        <row r="639">
          <cell r="B639" t="str">
            <v>G122100106100100</v>
          </cell>
          <cell r="C639" t="str">
            <v>12.千葉県</v>
          </cell>
          <cell r="D639" t="str">
            <v>210</v>
          </cell>
          <cell r="E639" t="str">
            <v>茂原市</v>
          </cell>
          <cell r="F639" t="str">
            <v>01</v>
          </cell>
          <cell r="G639" t="str">
            <v>公共 単独</v>
          </cell>
          <cell r="H639" t="str">
            <v>公共下水道</v>
          </cell>
          <cell r="I639" t="str">
            <v>単独</v>
          </cell>
          <cell r="J639" t="str">
            <v>001</v>
          </cell>
          <cell r="K639" t="str">
            <v>川中島終末処理場</v>
          </cell>
          <cell r="M639" t="str">
            <v>1</v>
          </cell>
          <cell r="N639" t="str">
            <v>1</v>
          </cell>
          <cell r="O639" t="str">
            <v>1</v>
          </cell>
          <cell r="Q639">
            <v>26573</v>
          </cell>
          <cell r="R639" t="str">
            <v>昭和</v>
          </cell>
          <cell r="S639">
            <v>47</v>
          </cell>
          <cell r="T639">
            <v>10</v>
          </cell>
          <cell r="AB639">
            <v>45000</v>
          </cell>
          <cell r="AC639" t="str">
            <v>第2種</v>
          </cell>
          <cell r="AD639" t="str">
            <v>Ｂ</v>
          </cell>
          <cell r="AE639" t="str">
            <v>ハ</v>
          </cell>
          <cell r="AF639">
            <v>15</v>
          </cell>
          <cell r="AI639" t="str">
            <v>阿久川</v>
          </cell>
          <cell r="AJ639" t="str">
            <v>一宮川</v>
          </cell>
          <cell r="AQ639" t="str">
            <v/>
          </cell>
          <cell r="AR639" t="str">
            <v>標準活性汚泥法</v>
          </cell>
          <cell r="AS639" t="str">
            <v>1221001001</v>
          </cell>
          <cell r="AT639" t="str">
            <v/>
          </cell>
          <cell r="AU639" t="str">
            <v>11</v>
          </cell>
          <cell r="AV639" t="str">
            <v>11</v>
          </cell>
          <cell r="AW639">
            <v>0</v>
          </cell>
          <cell r="AX639">
            <v>0</v>
          </cell>
          <cell r="AY639">
            <v>0</v>
          </cell>
          <cell r="AZ639">
            <v>0</v>
          </cell>
          <cell r="BA639">
            <v>0</v>
          </cell>
          <cell r="BD639" t="str">
            <v/>
          </cell>
          <cell r="BE639">
            <v>1</v>
          </cell>
          <cell r="BG639" t="str">
            <v>1110</v>
          </cell>
        </row>
        <row r="640">
          <cell r="B640" t="str">
            <v>G122130106100100</v>
          </cell>
          <cell r="C640" t="str">
            <v>12.千葉県</v>
          </cell>
          <cell r="D640" t="str">
            <v>213</v>
          </cell>
          <cell r="E640" t="str">
            <v>東金市</v>
          </cell>
          <cell r="F640" t="str">
            <v>01</v>
          </cell>
          <cell r="G640" t="str">
            <v>公共 単独</v>
          </cell>
          <cell r="H640" t="str">
            <v>公共下水道</v>
          </cell>
          <cell r="I640" t="str">
            <v>単独</v>
          </cell>
          <cell r="J640" t="str">
            <v>001</v>
          </cell>
          <cell r="K640" t="str">
            <v>東金市浄化センター</v>
          </cell>
          <cell r="M640" t="str">
            <v>1</v>
          </cell>
          <cell r="N640" t="str">
            <v>1</v>
          </cell>
          <cell r="P640" t="str">
            <v>1</v>
          </cell>
          <cell r="Q640">
            <v>31107</v>
          </cell>
          <cell r="R640" t="str">
            <v>昭和</v>
          </cell>
          <cell r="S640">
            <v>60</v>
          </cell>
          <cell r="T640">
            <v>3</v>
          </cell>
          <cell r="AB640">
            <v>44120</v>
          </cell>
          <cell r="AC640" t="str">
            <v>真亀川</v>
          </cell>
          <cell r="AD640" t="str">
            <v>Ｃ</v>
          </cell>
          <cell r="AE640" t="str">
            <v>ロ</v>
          </cell>
          <cell r="AJ640" t="str">
            <v>真亀川</v>
          </cell>
          <cell r="AQ640" t="str">
            <v/>
          </cell>
          <cell r="AR640" t="str">
            <v>標準活性汚泥法</v>
          </cell>
          <cell r="AS640" t="str">
            <v>1221301001</v>
          </cell>
          <cell r="AT640" t="str">
            <v/>
          </cell>
          <cell r="AU640" t="str">
            <v>10</v>
          </cell>
          <cell r="AV640" t="str">
            <v>10</v>
          </cell>
          <cell r="AW640">
            <v>1</v>
          </cell>
          <cell r="AX640">
            <v>0</v>
          </cell>
          <cell r="AY640">
            <v>0</v>
          </cell>
          <cell r="AZ640">
            <v>0</v>
          </cell>
          <cell r="BA640">
            <v>0</v>
          </cell>
          <cell r="BD640" t="str">
            <v/>
          </cell>
          <cell r="BE640">
            <v>1</v>
          </cell>
          <cell r="BG640" t="str">
            <v>1101</v>
          </cell>
        </row>
        <row r="641">
          <cell r="B641" t="str">
            <v>G122150106100100</v>
          </cell>
          <cell r="C641" t="str">
            <v>12.千葉県</v>
          </cell>
          <cell r="D641" t="str">
            <v>215</v>
          </cell>
          <cell r="E641" t="str">
            <v>旭市</v>
          </cell>
          <cell r="F641" t="str">
            <v>01</v>
          </cell>
          <cell r="G641" t="str">
            <v>公共 単独</v>
          </cell>
          <cell r="H641" t="str">
            <v>公共下水道</v>
          </cell>
          <cell r="I641" t="str">
            <v>単独</v>
          </cell>
          <cell r="J641" t="str">
            <v>001</v>
          </cell>
          <cell r="K641" t="str">
            <v>旭市浄化センター</v>
          </cell>
          <cell r="M641" t="str">
            <v>1</v>
          </cell>
          <cell r="N641" t="str">
            <v>1</v>
          </cell>
          <cell r="Q641">
            <v>36586</v>
          </cell>
          <cell r="R641" t="str">
            <v>平成</v>
          </cell>
          <cell r="S641">
            <v>12</v>
          </cell>
          <cell r="T641">
            <v>3</v>
          </cell>
          <cell r="AB641">
            <v>24200</v>
          </cell>
          <cell r="AC641" t="str">
            <v>新川下流</v>
          </cell>
          <cell r="AD641" t="str">
            <v>Ｃ</v>
          </cell>
          <cell r="AE641" t="str">
            <v>ハ</v>
          </cell>
          <cell r="AF641">
            <v>15</v>
          </cell>
          <cell r="AI641" t="str">
            <v>新堀川</v>
          </cell>
          <cell r="AJ641" t="str">
            <v>新川</v>
          </cell>
          <cell r="AQ641" t="str">
            <v/>
          </cell>
          <cell r="AR641" t="str">
            <v>標準活性汚泥法</v>
          </cell>
          <cell r="AS641" t="str">
            <v>1221501001</v>
          </cell>
          <cell r="AT641" t="str">
            <v/>
          </cell>
          <cell r="AU641" t="str">
            <v>10</v>
          </cell>
          <cell r="AV641" t="str">
            <v>10</v>
          </cell>
          <cell r="AW641">
            <v>0</v>
          </cell>
          <cell r="AX641">
            <v>0</v>
          </cell>
          <cell r="AY641">
            <v>0</v>
          </cell>
          <cell r="AZ641">
            <v>0</v>
          </cell>
          <cell r="BA641">
            <v>0</v>
          </cell>
          <cell r="BD641" t="str">
            <v/>
          </cell>
          <cell r="BE641">
            <v>1</v>
          </cell>
          <cell r="BG641" t="str">
            <v>1100</v>
          </cell>
        </row>
        <row r="642">
          <cell r="B642" t="str">
            <v>G122160106100100</v>
          </cell>
          <cell r="C642" t="str">
            <v>12.千葉県</v>
          </cell>
          <cell r="D642" t="str">
            <v>216</v>
          </cell>
          <cell r="E642" t="str">
            <v>習志野市</v>
          </cell>
          <cell r="F642" t="str">
            <v>01</v>
          </cell>
          <cell r="G642" t="str">
            <v>公共 単独</v>
          </cell>
          <cell r="H642" t="str">
            <v>公共下水道</v>
          </cell>
          <cell r="I642" t="str">
            <v>単独</v>
          </cell>
          <cell r="J642" t="str">
            <v>001</v>
          </cell>
          <cell r="K642" t="str">
            <v>津田沼浄化センター</v>
          </cell>
          <cell r="M642" t="str">
            <v>1</v>
          </cell>
          <cell r="N642" t="str">
            <v>1</v>
          </cell>
          <cell r="Q642">
            <v>30834</v>
          </cell>
          <cell r="R642" t="str">
            <v>昭和</v>
          </cell>
          <cell r="S642">
            <v>59</v>
          </cell>
          <cell r="T642">
            <v>6</v>
          </cell>
          <cell r="AB642">
            <v>82000</v>
          </cell>
          <cell r="AC642" t="str">
            <v>東京湾（９）</v>
          </cell>
          <cell r="AD642" t="str">
            <v>Ｂ-Ⅲ</v>
          </cell>
          <cell r="AE642" t="str">
            <v>ハ</v>
          </cell>
          <cell r="AF642">
            <v>10</v>
          </cell>
          <cell r="AI642" t="str">
            <v>海域</v>
          </cell>
          <cell r="AQ642" t="str">
            <v/>
          </cell>
          <cell r="AR642" t="str">
            <v>標準活性汚泥法</v>
          </cell>
          <cell r="AS642" t="str">
            <v>1221601001</v>
          </cell>
          <cell r="AT642" t="str">
            <v/>
          </cell>
          <cell r="AU642" t="str">
            <v>10</v>
          </cell>
          <cell r="AV642" t="str">
            <v>10</v>
          </cell>
          <cell r="AW642">
            <v>0</v>
          </cell>
          <cell r="AX642">
            <v>0</v>
          </cell>
          <cell r="AY642">
            <v>0</v>
          </cell>
          <cell r="AZ642">
            <v>0</v>
          </cell>
          <cell r="BA642">
            <v>0</v>
          </cell>
          <cell r="BD642" t="str">
            <v/>
          </cell>
          <cell r="BE642">
            <v>1</v>
          </cell>
          <cell r="BG642" t="str">
            <v>1100</v>
          </cell>
        </row>
        <row r="643">
          <cell r="B643" t="str">
            <v>G122190106100100</v>
          </cell>
          <cell r="C643" t="str">
            <v>12.千葉県</v>
          </cell>
          <cell r="D643" t="str">
            <v>219</v>
          </cell>
          <cell r="E643" t="str">
            <v>市原市</v>
          </cell>
          <cell r="F643" t="str">
            <v>01</v>
          </cell>
          <cell r="G643" t="str">
            <v>公共 単独</v>
          </cell>
          <cell r="H643" t="str">
            <v>公共下水道</v>
          </cell>
          <cell r="I643" t="str">
            <v>単独</v>
          </cell>
          <cell r="J643" t="str">
            <v>001</v>
          </cell>
          <cell r="K643" t="str">
            <v>菊間終末処理場</v>
          </cell>
          <cell r="M643" t="str">
            <v>1</v>
          </cell>
          <cell r="Q643">
            <v>26451</v>
          </cell>
          <cell r="R643" t="str">
            <v>昭和</v>
          </cell>
          <cell r="S643">
            <v>47</v>
          </cell>
          <cell r="T643">
            <v>6</v>
          </cell>
          <cell r="AB643">
            <v>48506</v>
          </cell>
          <cell r="AC643" t="str">
            <v>村田川</v>
          </cell>
          <cell r="AD643" t="str">
            <v>Ｃ</v>
          </cell>
          <cell r="AE643" t="str">
            <v>ロ</v>
          </cell>
          <cell r="AF643">
            <v>15</v>
          </cell>
          <cell r="AJ643" t="str">
            <v>村田川</v>
          </cell>
          <cell r="AQ643" t="str">
            <v/>
          </cell>
          <cell r="AR643" t="str">
            <v>標準活性汚泥法</v>
          </cell>
          <cell r="AS643" t="str">
            <v>1221901001</v>
          </cell>
          <cell r="AT643" t="str">
            <v/>
          </cell>
          <cell r="AU643" t="str">
            <v>00</v>
          </cell>
          <cell r="AV643" t="str">
            <v>00</v>
          </cell>
          <cell r="AW643">
            <v>0</v>
          </cell>
          <cell r="AX643">
            <v>0</v>
          </cell>
          <cell r="AY643">
            <v>0</v>
          </cell>
          <cell r="AZ643">
            <v>0</v>
          </cell>
          <cell r="BA643">
            <v>0</v>
          </cell>
          <cell r="BD643" t="str">
            <v/>
          </cell>
          <cell r="BE643">
            <v>1</v>
          </cell>
          <cell r="BG643" t="str">
            <v>1000</v>
          </cell>
        </row>
        <row r="644">
          <cell r="B644" t="str">
            <v>G122190106100200</v>
          </cell>
          <cell r="C644" t="str">
            <v>12.千葉県</v>
          </cell>
          <cell r="D644" t="str">
            <v>219</v>
          </cell>
          <cell r="E644" t="str">
            <v>市原市</v>
          </cell>
          <cell r="F644" t="str">
            <v>01</v>
          </cell>
          <cell r="G644" t="str">
            <v>公共 単独</v>
          </cell>
          <cell r="H644" t="str">
            <v>公共下水道</v>
          </cell>
          <cell r="I644" t="str">
            <v>単独</v>
          </cell>
          <cell r="J644" t="str">
            <v>002</v>
          </cell>
          <cell r="K644" t="str">
            <v>松ヶ島終末処理場</v>
          </cell>
          <cell r="M644" t="str">
            <v>1</v>
          </cell>
          <cell r="N644" t="str">
            <v>1</v>
          </cell>
          <cell r="P644" t="str">
            <v>1</v>
          </cell>
          <cell r="Q644">
            <v>29952</v>
          </cell>
          <cell r="R644" t="str">
            <v>昭和</v>
          </cell>
          <cell r="S644">
            <v>57</v>
          </cell>
          <cell r="T644">
            <v>1</v>
          </cell>
          <cell r="AB644">
            <v>63920</v>
          </cell>
          <cell r="AC644" t="str">
            <v>東京湾（甲）</v>
          </cell>
          <cell r="AD644" t="str">
            <v>Ｃ</v>
          </cell>
          <cell r="AE644" t="str">
            <v>イ</v>
          </cell>
          <cell r="AF644">
            <v>10</v>
          </cell>
          <cell r="AG644">
            <v>10</v>
          </cell>
          <cell r="AH644">
            <v>0.5</v>
          </cell>
          <cell r="AI644" t="str">
            <v>東京湾</v>
          </cell>
          <cell r="AP644" t="str">
            <v>再生水利用なし</v>
          </cell>
          <cell r="AQ644" t="str">
            <v/>
          </cell>
          <cell r="AR644" t="str">
            <v>嫌気無酸素好気法</v>
          </cell>
          <cell r="AS644" t="str">
            <v>1221901002</v>
          </cell>
          <cell r="AT644" t="str">
            <v/>
          </cell>
          <cell r="AU644" t="str">
            <v>10</v>
          </cell>
          <cell r="AV644" t="str">
            <v>10</v>
          </cell>
          <cell r="AW644">
            <v>1</v>
          </cell>
          <cell r="AX644">
            <v>0</v>
          </cell>
          <cell r="AY644">
            <v>0</v>
          </cell>
          <cell r="AZ644">
            <v>0</v>
          </cell>
          <cell r="BA644">
            <v>0</v>
          </cell>
          <cell r="BD644" t="str">
            <v/>
          </cell>
          <cell r="BE644">
            <v>1</v>
          </cell>
          <cell r="BG644" t="str">
            <v>1101</v>
          </cell>
        </row>
        <row r="645">
          <cell r="B645" t="str">
            <v>G122190106100300</v>
          </cell>
          <cell r="C645" t="str">
            <v>12.千葉県</v>
          </cell>
          <cell r="D645" t="str">
            <v>219</v>
          </cell>
          <cell r="E645" t="str">
            <v>市原市</v>
          </cell>
          <cell r="F645" t="str">
            <v>01</v>
          </cell>
          <cell r="G645" t="str">
            <v>公共 単独</v>
          </cell>
          <cell r="H645" t="str">
            <v>公共下水道</v>
          </cell>
          <cell r="I645" t="str">
            <v>単独</v>
          </cell>
          <cell r="J645" t="str">
            <v>003</v>
          </cell>
          <cell r="K645" t="str">
            <v>南総終末処理場</v>
          </cell>
          <cell r="M645" t="str">
            <v>1</v>
          </cell>
          <cell r="N645" t="str">
            <v>1</v>
          </cell>
          <cell r="Q645">
            <v>41000</v>
          </cell>
          <cell r="R645" t="str">
            <v>平成</v>
          </cell>
          <cell r="S645">
            <v>24</v>
          </cell>
          <cell r="T645">
            <v>4</v>
          </cell>
          <cell r="AB645">
            <v>43200</v>
          </cell>
          <cell r="AC645" t="str">
            <v>養老川</v>
          </cell>
          <cell r="AD645" t="str">
            <v>Ｂ</v>
          </cell>
          <cell r="AE645" t="str">
            <v>イ</v>
          </cell>
          <cell r="AF645">
            <v>10</v>
          </cell>
          <cell r="AG645">
            <v>10</v>
          </cell>
          <cell r="AH645">
            <v>0.5</v>
          </cell>
          <cell r="AJ645" t="str">
            <v>養老川</v>
          </cell>
          <cell r="AQ645" t="str">
            <v>新規</v>
          </cell>
          <cell r="AR645" t="str">
            <v>高度処理オキシディションディッチ法</v>
          </cell>
          <cell r="AS645" t="str">
            <v>1221901003</v>
          </cell>
          <cell r="AT645" t="str">
            <v/>
          </cell>
          <cell r="AU645" t="str">
            <v>10</v>
          </cell>
          <cell r="AV645" t="str">
            <v>10</v>
          </cell>
          <cell r="AW645">
            <v>0</v>
          </cell>
          <cell r="AX645">
            <v>0</v>
          </cell>
          <cell r="AY645">
            <v>0</v>
          </cell>
          <cell r="AZ645">
            <v>0</v>
          </cell>
          <cell r="BA645">
            <v>0</v>
          </cell>
          <cell r="BD645" t="str">
            <v/>
          </cell>
          <cell r="BE645">
            <v>1</v>
          </cell>
          <cell r="BG645" t="str">
            <v>1100</v>
          </cell>
        </row>
        <row r="646">
          <cell r="B646" t="str">
            <v>G122290106100100</v>
          </cell>
          <cell r="C646" t="str">
            <v>12.千葉県</v>
          </cell>
          <cell r="D646" t="str">
            <v>229</v>
          </cell>
          <cell r="E646" t="str">
            <v>袖ケ浦市</v>
          </cell>
          <cell r="F646" t="str">
            <v>01</v>
          </cell>
          <cell r="G646" t="str">
            <v>公共 単独</v>
          </cell>
          <cell r="H646" t="str">
            <v>公共下水道</v>
          </cell>
          <cell r="I646" t="str">
            <v>単独</v>
          </cell>
          <cell r="J646" t="str">
            <v>001</v>
          </cell>
          <cell r="K646" t="str">
            <v>袖ケ浦終末処理場</v>
          </cell>
          <cell r="M646" t="str">
            <v>1</v>
          </cell>
          <cell r="N646" t="str">
            <v>1</v>
          </cell>
          <cell r="Q646">
            <v>30773</v>
          </cell>
          <cell r="R646" t="str">
            <v>昭和</v>
          </cell>
          <cell r="S646">
            <v>59</v>
          </cell>
          <cell r="T646">
            <v>4</v>
          </cell>
          <cell r="AB646">
            <v>37660</v>
          </cell>
          <cell r="AC646" t="str">
            <v>千葉港（甲）</v>
          </cell>
          <cell r="AD646" t="str">
            <v>Ｃ</v>
          </cell>
          <cell r="AE646" t="str">
            <v>イ</v>
          </cell>
          <cell r="AF646">
            <v>14</v>
          </cell>
          <cell r="AI646" t="str">
            <v>東京湾</v>
          </cell>
          <cell r="AQ646" t="str">
            <v/>
          </cell>
          <cell r="AR646" t="str">
            <v>標準活性汚泥法</v>
          </cell>
          <cell r="AS646" t="str">
            <v>1222901001</v>
          </cell>
          <cell r="AT646" t="str">
            <v/>
          </cell>
          <cell r="AU646" t="str">
            <v>10</v>
          </cell>
          <cell r="AV646" t="str">
            <v>10</v>
          </cell>
          <cell r="AW646">
            <v>0</v>
          </cell>
          <cell r="AX646">
            <v>0</v>
          </cell>
          <cell r="AY646">
            <v>0</v>
          </cell>
          <cell r="AZ646">
            <v>0</v>
          </cell>
          <cell r="BA646">
            <v>0</v>
          </cell>
          <cell r="BD646" t="str">
            <v/>
          </cell>
          <cell r="BE646">
            <v>1</v>
          </cell>
          <cell r="BG646" t="str">
            <v>1100</v>
          </cell>
        </row>
        <row r="647">
          <cell r="B647" t="str">
            <v>G122360106100100</v>
          </cell>
          <cell r="C647" t="str">
            <v>12.千葉県</v>
          </cell>
          <cell r="D647" t="str">
            <v>236</v>
          </cell>
          <cell r="E647" t="str">
            <v>香取市</v>
          </cell>
          <cell r="F647" t="str">
            <v>01</v>
          </cell>
          <cell r="G647" t="str">
            <v>公共 単独</v>
          </cell>
          <cell r="H647" t="str">
            <v>公共下水道</v>
          </cell>
          <cell r="I647" t="str">
            <v>単独</v>
          </cell>
          <cell r="J647" t="str">
            <v>001</v>
          </cell>
          <cell r="K647" t="str">
            <v>佐原浄化センター</v>
          </cell>
          <cell r="M647" t="str">
            <v>1</v>
          </cell>
          <cell r="N647" t="str">
            <v>1</v>
          </cell>
          <cell r="Q647">
            <v>29768</v>
          </cell>
          <cell r="R647" t="str">
            <v>昭和</v>
          </cell>
          <cell r="S647">
            <v>56</v>
          </cell>
          <cell r="T647">
            <v>7</v>
          </cell>
          <cell r="U647" t="str">
            <v>名称変更</v>
          </cell>
          <cell r="V647">
            <v>38777</v>
          </cell>
          <cell r="W647" t="str">
            <v>平成</v>
          </cell>
          <cell r="X647">
            <v>18</v>
          </cell>
          <cell r="Y647">
            <v>3</v>
          </cell>
          <cell r="Z647" t="str">
            <v>佐原市浄化センター</v>
          </cell>
          <cell r="AB647">
            <v>50248</v>
          </cell>
          <cell r="AC647" t="str">
            <v>利根川下流</v>
          </cell>
          <cell r="AD647" t="str">
            <v>Ａ</v>
          </cell>
          <cell r="AE647" t="str">
            <v>イ</v>
          </cell>
          <cell r="AF647">
            <v>15</v>
          </cell>
          <cell r="AK647" t="str">
            <v>利根川</v>
          </cell>
          <cell r="AL647" t="str">
            <v>飯島取水場</v>
          </cell>
          <cell r="AM647">
            <v>5.2</v>
          </cell>
          <cell r="AO647" t="str">
            <v>香取市</v>
          </cell>
          <cell r="AQ647" t="str">
            <v/>
          </cell>
          <cell r="AR647" t="str">
            <v>標準活性汚泥法</v>
          </cell>
          <cell r="AS647" t="str">
            <v>1223601001</v>
          </cell>
          <cell r="AT647" t="str">
            <v/>
          </cell>
          <cell r="AU647" t="str">
            <v>10</v>
          </cell>
          <cell r="AV647" t="str">
            <v>10</v>
          </cell>
          <cell r="AW647">
            <v>0</v>
          </cell>
          <cell r="AX647">
            <v>0</v>
          </cell>
          <cell r="AY647">
            <v>0</v>
          </cell>
          <cell r="AZ647">
            <v>0</v>
          </cell>
          <cell r="BA647">
            <v>0</v>
          </cell>
          <cell r="BD647" t="str">
            <v/>
          </cell>
          <cell r="BE647">
            <v>1</v>
          </cell>
          <cell r="BG647" t="str">
            <v>1100</v>
          </cell>
        </row>
        <row r="648">
          <cell r="B648" t="str">
            <v>G122360106100200</v>
          </cell>
          <cell r="C648" t="str">
            <v>12.千葉県</v>
          </cell>
          <cell r="D648" t="str">
            <v>236</v>
          </cell>
          <cell r="E648" t="str">
            <v>香取市</v>
          </cell>
          <cell r="F648" t="str">
            <v>01</v>
          </cell>
          <cell r="G648" t="str">
            <v>公共 単独</v>
          </cell>
          <cell r="H648" t="str">
            <v>公共下水道</v>
          </cell>
          <cell r="I648" t="str">
            <v>単独</v>
          </cell>
          <cell r="J648" t="str">
            <v>002</v>
          </cell>
          <cell r="K648" t="str">
            <v>小見川浄化センター</v>
          </cell>
          <cell r="M648" t="str">
            <v>1</v>
          </cell>
          <cell r="N648" t="str">
            <v>1</v>
          </cell>
          <cell r="Q648">
            <v>32568</v>
          </cell>
          <cell r="R648" t="str">
            <v>平成</v>
          </cell>
          <cell r="S648">
            <v>1</v>
          </cell>
          <cell r="T648">
            <v>3</v>
          </cell>
          <cell r="AB648">
            <v>35400</v>
          </cell>
          <cell r="AC648" t="str">
            <v>利根川下流</v>
          </cell>
          <cell r="AD648" t="str">
            <v>Ａ</v>
          </cell>
          <cell r="AE648" t="str">
            <v>イ</v>
          </cell>
          <cell r="AF648">
            <v>15</v>
          </cell>
          <cell r="AK648" t="str">
            <v>利根川</v>
          </cell>
          <cell r="AL648" t="str">
            <v>利根川取水場</v>
          </cell>
          <cell r="AM648">
            <v>0.7</v>
          </cell>
          <cell r="AQ648" t="str">
            <v/>
          </cell>
          <cell r="AR648" t="str">
            <v>回分式活性汚泥法</v>
          </cell>
          <cell r="AS648" t="str">
            <v>1223601002</v>
          </cell>
          <cell r="AT648" t="str">
            <v/>
          </cell>
          <cell r="AU648" t="str">
            <v>10</v>
          </cell>
          <cell r="AV648" t="str">
            <v>10</v>
          </cell>
          <cell r="AW648">
            <v>0</v>
          </cell>
          <cell r="AX648">
            <v>0</v>
          </cell>
          <cell r="AY648">
            <v>0</v>
          </cell>
          <cell r="AZ648">
            <v>0</v>
          </cell>
          <cell r="BA648">
            <v>0</v>
          </cell>
          <cell r="BD648" t="str">
            <v/>
          </cell>
          <cell r="BE648">
            <v>1</v>
          </cell>
          <cell r="BG648" t="str">
            <v>1100</v>
          </cell>
        </row>
        <row r="649">
          <cell r="B649" t="str">
            <v>G122390106100100</v>
          </cell>
          <cell r="C649" t="str">
            <v>12.千葉県</v>
          </cell>
          <cell r="D649" t="str">
            <v>239</v>
          </cell>
          <cell r="E649" t="str">
            <v>大網白里市</v>
          </cell>
          <cell r="F649" t="str">
            <v>01</v>
          </cell>
          <cell r="G649" t="str">
            <v>公共 単独</v>
          </cell>
          <cell r="H649" t="str">
            <v>公共下水道</v>
          </cell>
          <cell r="I649" t="str">
            <v>単独</v>
          </cell>
          <cell r="J649" t="str">
            <v>001</v>
          </cell>
          <cell r="K649" t="str">
            <v>大網白里市浄化センター</v>
          </cell>
          <cell r="M649" t="str">
            <v>1</v>
          </cell>
          <cell r="N649" t="str">
            <v>1</v>
          </cell>
          <cell r="Q649">
            <v>33329</v>
          </cell>
          <cell r="R649" t="str">
            <v>平成</v>
          </cell>
          <cell r="S649">
            <v>3</v>
          </cell>
          <cell r="T649">
            <v>4</v>
          </cell>
          <cell r="U649" t="str">
            <v>名称変更</v>
          </cell>
          <cell r="V649">
            <v>41275</v>
          </cell>
          <cell r="W649" t="str">
            <v>平成</v>
          </cell>
          <cell r="X649">
            <v>25</v>
          </cell>
          <cell r="Y649">
            <v>1</v>
          </cell>
          <cell r="Z649" t="str">
            <v>大網白里町浄化センター</v>
          </cell>
          <cell r="AB649">
            <v>44730</v>
          </cell>
          <cell r="AC649" t="str">
            <v>設定なし</v>
          </cell>
          <cell r="AF649">
            <v>15</v>
          </cell>
          <cell r="AJ649" t="str">
            <v>堀川</v>
          </cell>
          <cell r="AQ649" t="str">
            <v/>
          </cell>
          <cell r="AR649" t="str">
            <v>標準活性汚泥法</v>
          </cell>
          <cell r="AS649" t="str">
            <v>1223901001</v>
          </cell>
          <cell r="AT649" t="str">
            <v/>
          </cell>
          <cell r="AU649" t="str">
            <v>10</v>
          </cell>
          <cell r="AV649" t="str">
            <v>10</v>
          </cell>
          <cell r="AW649">
            <v>0</v>
          </cell>
          <cell r="AX649">
            <v>0</v>
          </cell>
          <cell r="AY649">
            <v>0</v>
          </cell>
          <cell r="AZ649">
            <v>0</v>
          </cell>
          <cell r="BA649">
            <v>0</v>
          </cell>
          <cell r="BD649" t="str">
            <v/>
          </cell>
          <cell r="BE649">
            <v>1</v>
          </cell>
          <cell r="BG649" t="str">
            <v>1100</v>
          </cell>
        </row>
        <row r="650">
          <cell r="B650" t="str">
            <v>G123290106100100</v>
          </cell>
          <cell r="C650" t="str">
            <v>12.千葉県</v>
          </cell>
          <cell r="D650" t="str">
            <v>329</v>
          </cell>
          <cell r="E650" t="str">
            <v>栄町</v>
          </cell>
          <cell r="F650" t="str">
            <v>01</v>
          </cell>
          <cell r="G650" t="str">
            <v>公共 単独</v>
          </cell>
          <cell r="H650" t="str">
            <v>公共下水道</v>
          </cell>
          <cell r="I650" t="str">
            <v>単独</v>
          </cell>
          <cell r="J650" t="str">
            <v>001</v>
          </cell>
          <cell r="K650" t="str">
            <v>栄町終末処理場</v>
          </cell>
          <cell r="M650" t="str">
            <v>1</v>
          </cell>
          <cell r="N650" t="str">
            <v>1</v>
          </cell>
          <cell r="Q650">
            <v>30225</v>
          </cell>
          <cell r="R650" t="str">
            <v>昭和</v>
          </cell>
          <cell r="S650">
            <v>57</v>
          </cell>
          <cell r="T650">
            <v>10</v>
          </cell>
          <cell r="AB650">
            <v>35400</v>
          </cell>
          <cell r="AF650">
            <v>15</v>
          </cell>
          <cell r="AK650" t="str">
            <v>利根川</v>
          </cell>
          <cell r="AL650" t="str">
            <v>神宿浄水場取水場</v>
          </cell>
          <cell r="AN650">
            <v>20</v>
          </cell>
          <cell r="AO650" t="str">
            <v>神崎町</v>
          </cell>
          <cell r="AQ650" t="str">
            <v/>
          </cell>
          <cell r="AR650" t="str">
            <v>標準活性汚泥法</v>
          </cell>
          <cell r="AS650" t="str">
            <v>1232901001</v>
          </cell>
          <cell r="AT650" t="str">
            <v/>
          </cell>
          <cell r="AU650" t="str">
            <v>10</v>
          </cell>
          <cell r="AV650" t="str">
            <v>10</v>
          </cell>
          <cell r="AW650">
            <v>0</v>
          </cell>
          <cell r="AX650">
            <v>0</v>
          </cell>
          <cell r="AY650">
            <v>0</v>
          </cell>
          <cell r="AZ650">
            <v>0</v>
          </cell>
          <cell r="BA650">
            <v>0</v>
          </cell>
          <cell r="BD650" t="str">
            <v/>
          </cell>
          <cell r="BE650">
            <v>1</v>
          </cell>
          <cell r="BG650" t="str">
            <v>1100</v>
          </cell>
        </row>
        <row r="651">
          <cell r="B651" t="str">
            <v>G124090206100100</v>
          </cell>
          <cell r="C651" t="str">
            <v>12.千葉県</v>
          </cell>
          <cell r="D651" t="str">
            <v>409</v>
          </cell>
          <cell r="E651" t="str">
            <v>芝山町</v>
          </cell>
          <cell r="F651" t="str">
            <v>02</v>
          </cell>
          <cell r="G651" t="str">
            <v>特環 単独</v>
          </cell>
          <cell r="H651" t="str">
            <v>特定環境保全公共下水道</v>
          </cell>
          <cell r="I651" t="str">
            <v>単独</v>
          </cell>
          <cell r="J651" t="str">
            <v>001</v>
          </cell>
          <cell r="K651" t="str">
            <v>芝山クリーンセンター</v>
          </cell>
          <cell r="M651" t="str">
            <v>1</v>
          </cell>
          <cell r="N651" t="str">
            <v>1</v>
          </cell>
          <cell r="Q651">
            <v>38412</v>
          </cell>
          <cell r="R651" t="str">
            <v>平成</v>
          </cell>
          <cell r="S651">
            <v>17</v>
          </cell>
          <cell r="T651">
            <v>3</v>
          </cell>
          <cell r="AB651">
            <v>19010</v>
          </cell>
          <cell r="AC651" t="str">
            <v>木戸川</v>
          </cell>
          <cell r="AD651" t="str">
            <v>Ａ</v>
          </cell>
          <cell r="AE651" t="str">
            <v>ロ</v>
          </cell>
          <cell r="AF651">
            <v>11</v>
          </cell>
          <cell r="AJ651" t="str">
            <v>木戸川</v>
          </cell>
          <cell r="AQ651" t="str">
            <v/>
          </cell>
          <cell r="AR651" t="str">
            <v>オキシディションディッチ法</v>
          </cell>
          <cell r="AS651" t="str">
            <v>1240902001</v>
          </cell>
          <cell r="AT651" t="str">
            <v/>
          </cell>
          <cell r="AU651" t="str">
            <v>10</v>
          </cell>
          <cell r="AV651" t="str">
            <v>10</v>
          </cell>
          <cell r="AW651">
            <v>0</v>
          </cell>
          <cell r="AX651">
            <v>0</v>
          </cell>
          <cell r="AY651">
            <v>0</v>
          </cell>
          <cell r="AZ651">
            <v>0</v>
          </cell>
          <cell r="BA651">
            <v>0</v>
          </cell>
          <cell r="BD651" t="str">
            <v/>
          </cell>
          <cell r="BE651">
            <v>1</v>
          </cell>
          <cell r="BG651" t="str">
            <v>1100</v>
          </cell>
        </row>
        <row r="652">
          <cell r="B652" t="str">
            <v>G124230206100100</v>
          </cell>
          <cell r="C652" t="str">
            <v>12.千葉県</v>
          </cell>
          <cell r="D652" t="str">
            <v>423</v>
          </cell>
          <cell r="E652" t="str">
            <v>長生村</v>
          </cell>
          <cell r="F652" t="str">
            <v>02</v>
          </cell>
          <cell r="G652" t="str">
            <v>特環 単独</v>
          </cell>
          <cell r="H652" t="str">
            <v>特定環境保全公共下水道</v>
          </cell>
          <cell r="I652" t="str">
            <v>単独</v>
          </cell>
          <cell r="J652" t="str">
            <v>001</v>
          </cell>
          <cell r="K652" t="str">
            <v>長生浄化センター</v>
          </cell>
          <cell r="M652" t="str">
            <v>1</v>
          </cell>
          <cell r="N652" t="str">
            <v>1</v>
          </cell>
          <cell r="Q652">
            <v>35704</v>
          </cell>
          <cell r="R652" t="str">
            <v>平成</v>
          </cell>
          <cell r="S652">
            <v>9</v>
          </cell>
          <cell r="T652">
            <v>10</v>
          </cell>
          <cell r="AB652">
            <v>8580</v>
          </cell>
          <cell r="AC652" t="str">
            <v>一宮川</v>
          </cell>
          <cell r="AD652" t="str">
            <v>Ｃ</v>
          </cell>
          <cell r="AE652" t="str">
            <v>ロ</v>
          </cell>
          <cell r="AF652">
            <v>15</v>
          </cell>
          <cell r="AI652" t="str">
            <v>中瀬排水路</v>
          </cell>
          <cell r="AQ652" t="str">
            <v/>
          </cell>
          <cell r="AR652" t="str">
            <v>長時間エアレーション法</v>
          </cell>
          <cell r="AS652" t="str">
            <v>1242302001</v>
          </cell>
          <cell r="AT652" t="str">
            <v/>
          </cell>
          <cell r="AU652" t="str">
            <v>10</v>
          </cell>
          <cell r="AV652" t="str">
            <v>10</v>
          </cell>
          <cell r="AW652">
            <v>0</v>
          </cell>
          <cell r="AX652">
            <v>0</v>
          </cell>
          <cell r="AY652">
            <v>0</v>
          </cell>
          <cell r="AZ652">
            <v>0</v>
          </cell>
          <cell r="BA652">
            <v>0</v>
          </cell>
          <cell r="BD652" t="str">
            <v/>
          </cell>
          <cell r="BE652">
            <v>1</v>
          </cell>
          <cell r="BG652" t="str">
            <v>1100</v>
          </cell>
        </row>
        <row r="653">
          <cell r="B653" t="str">
            <v>G128010106100100</v>
          </cell>
          <cell r="C653" t="str">
            <v>12.千葉県</v>
          </cell>
          <cell r="D653" t="str">
            <v>801</v>
          </cell>
          <cell r="E653" t="str">
            <v>君津富津広域下水道組合</v>
          </cell>
          <cell r="F653" t="str">
            <v>01</v>
          </cell>
          <cell r="G653" t="str">
            <v>公共 単独</v>
          </cell>
          <cell r="H653" t="str">
            <v>公共下水道</v>
          </cell>
          <cell r="I653" t="str">
            <v>単独</v>
          </cell>
          <cell r="J653" t="str">
            <v>001</v>
          </cell>
          <cell r="K653" t="str">
            <v>君津富津終末処理場</v>
          </cell>
          <cell r="M653" t="str">
            <v>1</v>
          </cell>
          <cell r="N653" t="str">
            <v>1</v>
          </cell>
          <cell r="Q653">
            <v>32843</v>
          </cell>
          <cell r="R653" t="str">
            <v>平成</v>
          </cell>
          <cell r="S653">
            <v>1</v>
          </cell>
          <cell r="T653">
            <v>12</v>
          </cell>
          <cell r="AB653">
            <v>154000</v>
          </cell>
          <cell r="AC653" t="str">
            <v>東京湾（１）</v>
          </cell>
          <cell r="AD653" t="str">
            <v>ＡＡ</v>
          </cell>
          <cell r="AE653" t="str">
            <v>イ</v>
          </cell>
          <cell r="AF653">
            <v>15</v>
          </cell>
          <cell r="AG653">
            <v>15</v>
          </cell>
          <cell r="AH653">
            <v>1.4</v>
          </cell>
          <cell r="AI653" t="str">
            <v>海域</v>
          </cell>
          <cell r="AQ653" t="str">
            <v/>
          </cell>
          <cell r="AR653" t="str">
            <v>標準活性汚泥法</v>
          </cell>
          <cell r="AS653" t="str">
            <v>1280101001</v>
          </cell>
          <cell r="AT653" t="str">
            <v/>
          </cell>
          <cell r="AU653" t="str">
            <v>10</v>
          </cell>
          <cell r="AV653" t="str">
            <v>10</v>
          </cell>
          <cell r="AW653">
            <v>0</v>
          </cell>
          <cell r="AX653">
            <v>0</v>
          </cell>
          <cell r="AY653">
            <v>0</v>
          </cell>
          <cell r="AZ653">
            <v>0</v>
          </cell>
          <cell r="BA653">
            <v>0</v>
          </cell>
          <cell r="BD653" t="str">
            <v/>
          </cell>
          <cell r="BE653">
            <v>1</v>
          </cell>
          <cell r="BG653" t="str">
            <v>1100</v>
          </cell>
        </row>
        <row r="654">
          <cell r="B654" t="str">
            <v>G130018106100100</v>
          </cell>
          <cell r="C654" t="str">
            <v>13.東京都</v>
          </cell>
          <cell r="D654" t="str">
            <v>001</v>
          </cell>
          <cell r="E654" t="str">
            <v>多摩川流域</v>
          </cell>
          <cell r="F654" t="str">
            <v>81</v>
          </cell>
          <cell r="G654" t="str">
            <v>流域</v>
          </cell>
          <cell r="H654" t="str">
            <v>流域下水道</v>
          </cell>
          <cell r="I654" t="str">
            <v/>
          </cell>
          <cell r="J654" t="str">
            <v>001</v>
          </cell>
          <cell r="K654" t="str">
            <v>南多摩水再生センター</v>
          </cell>
          <cell r="M654" t="str">
            <v>1</v>
          </cell>
          <cell r="N654" t="str">
            <v>1</v>
          </cell>
          <cell r="P654" t="str">
            <v>1</v>
          </cell>
          <cell r="Q654">
            <v>26017</v>
          </cell>
          <cell r="R654" t="str">
            <v>昭和</v>
          </cell>
          <cell r="S654">
            <v>46</v>
          </cell>
          <cell r="T654">
            <v>3</v>
          </cell>
          <cell r="AB654">
            <v>251563</v>
          </cell>
          <cell r="AC654" t="str">
            <v>多摩川中・下流</v>
          </cell>
          <cell r="AD654" t="str">
            <v>Ｂ</v>
          </cell>
          <cell r="AE654" t="str">
            <v>イ</v>
          </cell>
          <cell r="AF654">
            <v>10</v>
          </cell>
          <cell r="AG654">
            <v>20</v>
          </cell>
          <cell r="AH654">
            <v>3</v>
          </cell>
          <cell r="AK654" t="str">
            <v>多摩川</v>
          </cell>
          <cell r="AL654" t="str">
            <v>砧浄水場</v>
          </cell>
          <cell r="AN654">
            <v>11.6</v>
          </cell>
          <cell r="AO654" t="str">
            <v>世田谷区の一部</v>
          </cell>
          <cell r="AQ654" t="str">
            <v/>
          </cell>
          <cell r="AR654" t="str">
            <v>嫌気無酸素好気法</v>
          </cell>
          <cell r="AS654" t="str">
            <v>1300181001</v>
          </cell>
          <cell r="AT654" t="str">
            <v/>
          </cell>
          <cell r="AU654" t="str">
            <v>10</v>
          </cell>
          <cell r="AV654" t="str">
            <v>10</v>
          </cell>
          <cell r="AW654">
            <v>1</v>
          </cell>
          <cell r="AX654">
            <v>0</v>
          </cell>
          <cell r="AY654">
            <v>0</v>
          </cell>
          <cell r="AZ654">
            <v>0</v>
          </cell>
          <cell r="BA654">
            <v>0</v>
          </cell>
          <cell r="BD654" t="str">
            <v/>
          </cell>
          <cell r="BE654">
            <v>1</v>
          </cell>
          <cell r="BG654" t="str">
            <v>1101</v>
          </cell>
        </row>
        <row r="655">
          <cell r="B655" t="str">
            <v>G130018106100200</v>
          </cell>
          <cell r="C655" t="str">
            <v>13.東京都</v>
          </cell>
          <cell r="D655" t="str">
            <v>001</v>
          </cell>
          <cell r="E655" t="str">
            <v>多摩川流域</v>
          </cell>
          <cell r="F655" t="str">
            <v>81</v>
          </cell>
          <cell r="G655" t="str">
            <v>流域</v>
          </cell>
          <cell r="H655" t="str">
            <v>流域下水道</v>
          </cell>
          <cell r="I655" t="str">
            <v/>
          </cell>
          <cell r="J655" t="str">
            <v>002</v>
          </cell>
          <cell r="K655" t="str">
            <v>北多摩一号水再生センター</v>
          </cell>
          <cell r="M655" t="str">
            <v>1</v>
          </cell>
          <cell r="N655" t="str">
            <v>1</v>
          </cell>
          <cell r="O655" t="str">
            <v>1</v>
          </cell>
          <cell r="P655" t="str">
            <v>1</v>
          </cell>
          <cell r="Q655">
            <v>26824</v>
          </cell>
          <cell r="R655" t="str">
            <v>昭和</v>
          </cell>
          <cell r="S655">
            <v>48</v>
          </cell>
          <cell r="T655">
            <v>6</v>
          </cell>
          <cell r="AB655">
            <v>136346</v>
          </cell>
          <cell r="AC655" t="str">
            <v>多摩川中・下流</v>
          </cell>
          <cell r="AD655" t="str">
            <v>Ｂ</v>
          </cell>
          <cell r="AE655" t="str">
            <v>イ</v>
          </cell>
          <cell r="AF655">
            <v>10</v>
          </cell>
          <cell r="AG655">
            <v>20</v>
          </cell>
          <cell r="AH655">
            <v>3</v>
          </cell>
          <cell r="AK655" t="str">
            <v>多摩川</v>
          </cell>
          <cell r="AL655" t="str">
            <v>砧浄水場</v>
          </cell>
          <cell r="AN655">
            <v>8.4</v>
          </cell>
          <cell r="AO655" t="str">
            <v>世田谷一部</v>
          </cell>
          <cell r="AQ655" t="str">
            <v/>
          </cell>
          <cell r="AR655" t="str">
            <v>標準活性汚泥法</v>
          </cell>
          <cell r="AS655" t="str">
            <v>1300181002</v>
          </cell>
          <cell r="AT655" t="str">
            <v/>
          </cell>
          <cell r="AU655" t="str">
            <v>11</v>
          </cell>
          <cell r="AV655" t="str">
            <v>10</v>
          </cell>
          <cell r="AW655">
            <v>1</v>
          </cell>
          <cell r="AX655">
            <v>0</v>
          </cell>
          <cell r="AY655">
            <v>-1</v>
          </cell>
          <cell r="AZ655">
            <v>0</v>
          </cell>
          <cell r="BA655">
            <v>1</v>
          </cell>
          <cell r="BC655" t="str">
            <v>建設資材休止</v>
          </cell>
          <cell r="BD655" t="str">
            <v>建設資材休止</v>
          </cell>
          <cell r="BE655">
            <v>1</v>
          </cell>
          <cell r="BG655" t="str">
            <v>1111</v>
          </cell>
        </row>
        <row r="656">
          <cell r="B656" t="str">
            <v>G130018106100300</v>
          </cell>
          <cell r="C656" t="str">
            <v>13.東京都</v>
          </cell>
          <cell r="D656" t="str">
            <v>001</v>
          </cell>
          <cell r="E656" t="str">
            <v>多摩川流域</v>
          </cell>
          <cell r="F656" t="str">
            <v>81</v>
          </cell>
          <cell r="G656" t="str">
            <v>流域</v>
          </cell>
          <cell r="H656" t="str">
            <v>流域下水道</v>
          </cell>
          <cell r="I656" t="str">
            <v/>
          </cell>
          <cell r="J656" t="str">
            <v>003</v>
          </cell>
          <cell r="K656" t="str">
            <v>多摩川上流水再生センター</v>
          </cell>
          <cell r="M656" t="str">
            <v>1</v>
          </cell>
          <cell r="N656" t="str">
            <v>1</v>
          </cell>
          <cell r="P656" t="str">
            <v>1</v>
          </cell>
          <cell r="Q656">
            <v>28630</v>
          </cell>
          <cell r="R656" t="str">
            <v>昭和</v>
          </cell>
          <cell r="S656">
            <v>53</v>
          </cell>
          <cell r="T656">
            <v>5</v>
          </cell>
          <cell r="AB656">
            <v>151417</v>
          </cell>
          <cell r="AC656" t="str">
            <v>多摩川中・下流</v>
          </cell>
          <cell r="AD656" t="str">
            <v>Ｂ</v>
          </cell>
          <cell r="AE656" t="str">
            <v>イ</v>
          </cell>
          <cell r="AF656">
            <v>10</v>
          </cell>
          <cell r="AG656">
            <v>20</v>
          </cell>
          <cell r="AH656">
            <v>3</v>
          </cell>
          <cell r="AK656" t="str">
            <v>多摩川</v>
          </cell>
          <cell r="AL656" t="str">
            <v>拝島原水補給ポンプ所</v>
          </cell>
          <cell r="AM656">
            <v>4.2</v>
          </cell>
          <cell r="AO656" t="str">
            <v>千代田区、八王子市、他12区18市</v>
          </cell>
          <cell r="AQ656" t="str">
            <v/>
          </cell>
          <cell r="AR656" t="str">
            <v>嫌気無酸素好気法</v>
          </cell>
          <cell r="AS656" t="str">
            <v>1300181003</v>
          </cell>
          <cell r="AT656" t="str">
            <v/>
          </cell>
          <cell r="AU656" t="str">
            <v>10</v>
          </cell>
          <cell r="AV656" t="str">
            <v>10</v>
          </cell>
          <cell r="AW656">
            <v>1</v>
          </cell>
          <cell r="AX656">
            <v>0</v>
          </cell>
          <cell r="AY656">
            <v>0</v>
          </cell>
          <cell r="AZ656">
            <v>0</v>
          </cell>
          <cell r="BA656">
            <v>0</v>
          </cell>
          <cell r="BD656" t="str">
            <v/>
          </cell>
          <cell r="BE656">
            <v>1</v>
          </cell>
          <cell r="BG656" t="str">
            <v>1101</v>
          </cell>
        </row>
        <row r="657">
          <cell r="B657" t="str">
            <v>G130018106100400</v>
          </cell>
          <cell r="C657" t="str">
            <v>13.東京都</v>
          </cell>
          <cell r="D657" t="str">
            <v>001</v>
          </cell>
          <cell r="E657" t="str">
            <v>多摩川流域</v>
          </cell>
          <cell r="F657" t="str">
            <v>81</v>
          </cell>
          <cell r="G657" t="str">
            <v>流域</v>
          </cell>
          <cell r="H657" t="str">
            <v>流域下水道</v>
          </cell>
          <cell r="I657" t="str">
            <v/>
          </cell>
          <cell r="J657" t="str">
            <v>004</v>
          </cell>
          <cell r="K657" t="str">
            <v>北多摩二号水再生センター</v>
          </cell>
          <cell r="M657" t="str">
            <v>1</v>
          </cell>
          <cell r="N657" t="str">
            <v>1</v>
          </cell>
          <cell r="Q657">
            <v>32599</v>
          </cell>
          <cell r="R657" t="str">
            <v>平成</v>
          </cell>
          <cell r="S657">
            <v>1</v>
          </cell>
          <cell r="T657">
            <v>4</v>
          </cell>
          <cell r="AB657">
            <v>112003</v>
          </cell>
          <cell r="AC657" t="str">
            <v>多摩川中・下流</v>
          </cell>
          <cell r="AD657" t="str">
            <v>Ｂ</v>
          </cell>
          <cell r="AE657" t="str">
            <v>イ</v>
          </cell>
          <cell r="AF657">
            <v>10</v>
          </cell>
          <cell r="AG657">
            <v>20</v>
          </cell>
          <cell r="AH657">
            <v>3</v>
          </cell>
          <cell r="AK657" t="str">
            <v>多摩川</v>
          </cell>
          <cell r="AL657" t="str">
            <v>拝島原水補給ポンプ所</v>
          </cell>
          <cell r="AM657">
            <v>11.7</v>
          </cell>
          <cell r="AO657" t="str">
            <v>千代田区、八王子市、他12区18市</v>
          </cell>
          <cell r="AQ657" t="str">
            <v/>
          </cell>
          <cell r="AR657" t="str">
            <v>標準活性汚泥法</v>
          </cell>
          <cell r="AS657" t="str">
            <v>1300181004</v>
          </cell>
          <cell r="AT657" t="str">
            <v/>
          </cell>
          <cell r="AU657" t="str">
            <v>10</v>
          </cell>
          <cell r="AV657" t="str">
            <v>10</v>
          </cell>
          <cell r="AW657">
            <v>0</v>
          </cell>
          <cell r="AX657">
            <v>0</v>
          </cell>
          <cell r="AY657">
            <v>0</v>
          </cell>
          <cell r="AZ657">
            <v>0</v>
          </cell>
          <cell r="BA657">
            <v>0</v>
          </cell>
          <cell r="BD657" t="str">
            <v/>
          </cell>
          <cell r="BE657">
            <v>1</v>
          </cell>
          <cell r="BG657" t="str">
            <v>1100</v>
          </cell>
        </row>
        <row r="658">
          <cell r="B658" t="str">
            <v>G130018106100500</v>
          </cell>
          <cell r="C658" t="str">
            <v>13.東京都</v>
          </cell>
          <cell r="D658" t="str">
            <v>001</v>
          </cell>
          <cell r="E658" t="str">
            <v>多摩川流域</v>
          </cell>
          <cell r="F658" t="str">
            <v>81</v>
          </cell>
          <cell r="G658" t="str">
            <v>流域</v>
          </cell>
          <cell r="H658" t="str">
            <v>流域下水道</v>
          </cell>
          <cell r="I658" t="str">
            <v/>
          </cell>
          <cell r="J658" t="str">
            <v>005</v>
          </cell>
          <cell r="K658" t="str">
            <v>浅川水再生センター</v>
          </cell>
          <cell r="M658" t="str">
            <v>1</v>
          </cell>
          <cell r="N658" t="str">
            <v>1</v>
          </cell>
          <cell r="P658" t="str">
            <v>1</v>
          </cell>
          <cell r="Q658">
            <v>33909</v>
          </cell>
          <cell r="R658" t="str">
            <v>平成</v>
          </cell>
          <cell r="S658">
            <v>4</v>
          </cell>
          <cell r="T658">
            <v>11</v>
          </cell>
          <cell r="AB658">
            <v>157304</v>
          </cell>
          <cell r="AC658" t="str">
            <v>多摩川中・下流</v>
          </cell>
          <cell r="AD658" t="str">
            <v>Ｂ</v>
          </cell>
          <cell r="AE658" t="str">
            <v>イ</v>
          </cell>
          <cell r="AF658">
            <v>10</v>
          </cell>
          <cell r="AG658">
            <v>20</v>
          </cell>
          <cell r="AH658">
            <v>3</v>
          </cell>
          <cell r="AK658" t="str">
            <v>多摩川</v>
          </cell>
          <cell r="AL658" t="str">
            <v>拝島原水補給ポンプ所</v>
          </cell>
          <cell r="AM658">
            <v>10.7</v>
          </cell>
          <cell r="AO658" t="str">
            <v>千代田区、八王子市、他12区18市</v>
          </cell>
          <cell r="AQ658" t="str">
            <v/>
          </cell>
          <cell r="AR658" t="str">
            <v>嫌気無酸素好気法</v>
          </cell>
          <cell r="AS658" t="str">
            <v>1300181005</v>
          </cell>
          <cell r="AT658" t="str">
            <v/>
          </cell>
          <cell r="AU658" t="str">
            <v>10</v>
          </cell>
          <cell r="AV658" t="str">
            <v>10</v>
          </cell>
          <cell r="AW658">
            <v>1</v>
          </cell>
          <cell r="AX658">
            <v>0</v>
          </cell>
          <cell r="AY658">
            <v>0</v>
          </cell>
          <cell r="AZ658">
            <v>0</v>
          </cell>
          <cell r="BA658">
            <v>0</v>
          </cell>
          <cell r="BD658" t="str">
            <v/>
          </cell>
          <cell r="BE658">
            <v>1</v>
          </cell>
          <cell r="BG658" t="str">
            <v>1101</v>
          </cell>
        </row>
        <row r="659">
          <cell r="B659" t="str">
            <v>G130018106100600</v>
          </cell>
          <cell r="C659" t="str">
            <v>13.東京都</v>
          </cell>
          <cell r="D659" t="str">
            <v>001</v>
          </cell>
          <cell r="E659" t="str">
            <v>多摩川流域</v>
          </cell>
          <cell r="F659" t="str">
            <v>81</v>
          </cell>
          <cell r="G659" t="str">
            <v>流域</v>
          </cell>
          <cell r="H659" t="str">
            <v>流域下水道</v>
          </cell>
          <cell r="I659" t="str">
            <v/>
          </cell>
          <cell r="J659" t="str">
            <v>006</v>
          </cell>
          <cell r="K659" t="str">
            <v>八王子水再生センター</v>
          </cell>
          <cell r="M659" t="str">
            <v>1</v>
          </cell>
          <cell r="N659" t="str">
            <v>1</v>
          </cell>
          <cell r="P659" t="str">
            <v>1</v>
          </cell>
          <cell r="Q659">
            <v>33924</v>
          </cell>
          <cell r="R659" t="str">
            <v>平成</v>
          </cell>
          <cell r="S659">
            <v>4</v>
          </cell>
          <cell r="T659">
            <v>11</v>
          </cell>
          <cell r="AB659">
            <v>224538</v>
          </cell>
          <cell r="AC659" t="str">
            <v>多摩川中・下流</v>
          </cell>
          <cell r="AD659" t="str">
            <v>Ｂ</v>
          </cell>
          <cell r="AE659" t="str">
            <v>イ</v>
          </cell>
          <cell r="AF659">
            <v>10</v>
          </cell>
          <cell r="AG659">
            <v>20</v>
          </cell>
          <cell r="AH659">
            <v>3</v>
          </cell>
          <cell r="AK659" t="str">
            <v>多摩川</v>
          </cell>
          <cell r="AL659" t="str">
            <v>拝島原水補給ポンプ所</v>
          </cell>
          <cell r="AM659">
            <v>4.7</v>
          </cell>
          <cell r="AO659" t="str">
            <v>千代田区、八王子市、他12区18市</v>
          </cell>
          <cell r="AQ659" t="str">
            <v/>
          </cell>
          <cell r="AR659" t="str">
            <v>嫌気無酸素好気法</v>
          </cell>
          <cell r="AS659" t="str">
            <v>1300181006</v>
          </cell>
          <cell r="AT659" t="str">
            <v/>
          </cell>
          <cell r="AU659" t="str">
            <v>10</v>
          </cell>
          <cell r="AV659" t="str">
            <v>10</v>
          </cell>
          <cell r="AW659">
            <v>1</v>
          </cell>
          <cell r="AX659">
            <v>0</v>
          </cell>
          <cell r="AY659">
            <v>0</v>
          </cell>
          <cell r="AZ659">
            <v>0</v>
          </cell>
          <cell r="BA659">
            <v>0</v>
          </cell>
          <cell r="BD659" t="str">
            <v/>
          </cell>
          <cell r="BE659">
            <v>1</v>
          </cell>
          <cell r="BG659" t="str">
            <v>1101</v>
          </cell>
        </row>
        <row r="660">
          <cell r="B660" t="str">
            <v>G130028106100100</v>
          </cell>
          <cell r="C660" t="str">
            <v>13.東京都</v>
          </cell>
          <cell r="D660" t="str">
            <v>002</v>
          </cell>
          <cell r="E660" t="str">
            <v>荒川右岸東京流域</v>
          </cell>
          <cell r="F660" t="str">
            <v>81</v>
          </cell>
          <cell r="G660" t="str">
            <v>流域</v>
          </cell>
          <cell r="H660" t="str">
            <v>流域下水道</v>
          </cell>
          <cell r="I660" t="str">
            <v/>
          </cell>
          <cell r="J660" t="str">
            <v>001</v>
          </cell>
          <cell r="K660" t="str">
            <v>清瀬水再生センター</v>
          </cell>
          <cell r="M660" t="str">
            <v>1</v>
          </cell>
          <cell r="N660" t="str">
            <v>1</v>
          </cell>
          <cell r="P660" t="str">
            <v>1</v>
          </cell>
          <cell r="Q660">
            <v>29909</v>
          </cell>
          <cell r="R660" t="str">
            <v>昭和</v>
          </cell>
          <cell r="S660">
            <v>56</v>
          </cell>
          <cell r="T660">
            <v>11</v>
          </cell>
          <cell r="AB660">
            <v>213012</v>
          </cell>
          <cell r="AC660" t="str">
            <v>柳瀬川</v>
          </cell>
          <cell r="AD660" t="str">
            <v>Ｅ</v>
          </cell>
          <cell r="AE660" t="str">
            <v>ロ</v>
          </cell>
          <cell r="AF660">
            <v>10</v>
          </cell>
          <cell r="AG660">
            <v>20</v>
          </cell>
          <cell r="AH660">
            <v>3</v>
          </cell>
          <cell r="AK660" t="str">
            <v>柳瀬川</v>
          </cell>
          <cell r="AQ660" t="str">
            <v/>
          </cell>
          <cell r="AR660" t="str">
            <v>標準活性汚泥法</v>
          </cell>
          <cell r="AS660" t="str">
            <v>1300281001</v>
          </cell>
          <cell r="AT660" t="str">
            <v/>
          </cell>
          <cell r="AU660" t="str">
            <v>10</v>
          </cell>
          <cell r="AV660" t="str">
            <v>10</v>
          </cell>
          <cell r="AW660">
            <v>1</v>
          </cell>
          <cell r="AX660">
            <v>0</v>
          </cell>
          <cell r="AY660">
            <v>0</v>
          </cell>
          <cell r="AZ660">
            <v>0</v>
          </cell>
          <cell r="BA660">
            <v>0</v>
          </cell>
          <cell r="BD660" t="str">
            <v/>
          </cell>
          <cell r="BE660">
            <v>1</v>
          </cell>
          <cell r="BG660" t="str">
            <v>1101</v>
          </cell>
        </row>
        <row r="661">
          <cell r="B661" t="str">
            <v>G131000106100100</v>
          </cell>
          <cell r="C661" t="str">
            <v>13.東京都</v>
          </cell>
          <cell r="D661" t="str">
            <v>100</v>
          </cell>
          <cell r="E661" t="str">
            <v>東京都区部</v>
          </cell>
          <cell r="F661" t="str">
            <v>01</v>
          </cell>
          <cell r="G661" t="str">
            <v>公共 単独</v>
          </cell>
          <cell r="H661" t="str">
            <v>公共下水道</v>
          </cell>
          <cell r="I661" t="str">
            <v>単独</v>
          </cell>
          <cell r="J661" t="str">
            <v>001</v>
          </cell>
          <cell r="K661" t="str">
            <v>三河島水再生センター</v>
          </cell>
          <cell r="M661" t="str">
            <v>1</v>
          </cell>
          <cell r="Q661">
            <v>8096</v>
          </cell>
          <cell r="R661" t="str">
            <v>大正</v>
          </cell>
          <cell r="S661">
            <v>11</v>
          </cell>
          <cell r="T661">
            <v>3</v>
          </cell>
          <cell r="AB661">
            <v>185000</v>
          </cell>
          <cell r="AC661" t="str">
            <v>隅田川</v>
          </cell>
          <cell r="AF661">
            <v>15</v>
          </cell>
          <cell r="AG661">
            <v>20</v>
          </cell>
          <cell r="AH661">
            <v>3</v>
          </cell>
          <cell r="AK661" t="str">
            <v>隅田川</v>
          </cell>
          <cell r="AQ661" t="str">
            <v/>
          </cell>
          <cell r="AR661" t="str">
            <v>嫌気好気活性汚泥法</v>
          </cell>
          <cell r="AS661" t="str">
            <v>1310001001</v>
          </cell>
          <cell r="AT661" t="str">
            <v/>
          </cell>
          <cell r="AU661" t="str">
            <v>00</v>
          </cell>
          <cell r="AV661" t="str">
            <v>00</v>
          </cell>
          <cell r="AW661">
            <v>0</v>
          </cell>
          <cell r="AX661">
            <v>0</v>
          </cell>
          <cell r="AY661">
            <v>0</v>
          </cell>
          <cell r="AZ661">
            <v>0</v>
          </cell>
          <cell r="BA661">
            <v>0</v>
          </cell>
          <cell r="BD661" t="str">
            <v/>
          </cell>
          <cell r="BE661">
            <v>1</v>
          </cell>
          <cell r="BG661" t="str">
            <v>1000</v>
          </cell>
        </row>
        <row r="662">
          <cell r="B662" t="str">
            <v>G131000106100200</v>
          </cell>
          <cell r="C662" t="str">
            <v>13.東京都</v>
          </cell>
          <cell r="D662" t="str">
            <v>100</v>
          </cell>
          <cell r="E662" t="str">
            <v>東京都区部</v>
          </cell>
          <cell r="F662" t="str">
            <v>01</v>
          </cell>
          <cell r="G662" t="str">
            <v>公共 単独</v>
          </cell>
          <cell r="H662" t="str">
            <v>公共下水道</v>
          </cell>
          <cell r="I662" t="str">
            <v>単独</v>
          </cell>
          <cell r="J662" t="str">
            <v>002</v>
          </cell>
          <cell r="K662" t="str">
            <v>砂町水再生センター</v>
          </cell>
          <cell r="M662" t="str">
            <v>1</v>
          </cell>
          <cell r="N662" t="str">
            <v>1</v>
          </cell>
          <cell r="Q662">
            <v>10990</v>
          </cell>
          <cell r="R662" t="str">
            <v>昭和</v>
          </cell>
          <cell r="S662">
            <v>5</v>
          </cell>
          <cell r="T662">
            <v>2</v>
          </cell>
          <cell r="AB662">
            <v>788700</v>
          </cell>
          <cell r="AC662" t="str">
            <v>東京湾</v>
          </cell>
          <cell r="AF662">
            <v>15</v>
          </cell>
          <cell r="AG662">
            <v>20</v>
          </cell>
          <cell r="AH662">
            <v>3</v>
          </cell>
          <cell r="AI662" t="str">
            <v>東京湾</v>
          </cell>
          <cell r="AQ662" t="str">
            <v/>
          </cell>
          <cell r="AR662" t="str">
            <v>標準活性汚泥法</v>
          </cell>
          <cell r="AS662" t="str">
            <v>1310001002</v>
          </cell>
          <cell r="AT662" t="str">
            <v/>
          </cell>
          <cell r="AU662" t="str">
            <v>10</v>
          </cell>
          <cell r="AV662" t="str">
            <v>10</v>
          </cell>
          <cell r="AW662">
            <v>0</v>
          </cell>
          <cell r="AX662">
            <v>0</v>
          </cell>
          <cell r="AY662">
            <v>0</v>
          </cell>
          <cell r="AZ662">
            <v>0</v>
          </cell>
          <cell r="BA662">
            <v>0</v>
          </cell>
          <cell r="BD662" t="str">
            <v/>
          </cell>
          <cell r="BE662">
            <v>1</v>
          </cell>
          <cell r="BG662" t="str">
            <v>1100</v>
          </cell>
        </row>
        <row r="663">
          <cell r="B663" t="str">
            <v>G131000106100300</v>
          </cell>
          <cell r="C663" t="str">
            <v>13.東京都</v>
          </cell>
          <cell r="D663" t="str">
            <v>100</v>
          </cell>
          <cell r="E663" t="str">
            <v>東京都区部</v>
          </cell>
          <cell r="F663" t="str">
            <v>01</v>
          </cell>
          <cell r="G663" t="str">
            <v>公共 単独</v>
          </cell>
          <cell r="H663" t="str">
            <v>公共下水道</v>
          </cell>
          <cell r="I663" t="str">
            <v>単独</v>
          </cell>
          <cell r="J663" t="str">
            <v>003</v>
          </cell>
          <cell r="K663" t="str">
            <v>芝浦水再生センター</v>
          </cell>
          <cell r="M663" t="str">
            <v>1</v>
          </cell>
          <cell r="P663" t="str">
            <v>1</v>
          </cell>
          <cell r="Q663">
            <v>11383</v>
          </cell>
          <cell r="R663" t="str">
            <v>昭和</v>
          </cell>
          <cell r="S663">
            <v>6</v>
          </cell>
          <cell r="T663">
            <v>3</v>
          </cell>
          <cell r="AB663">
            <v>215200</v>
          </cell>
          <cell r="AF663">
            <v>15</v>
          </cell>
          <cell r="AH663">
            <v>3</v>
          </cell>
          <cell r="AI663" t="str">
            <v>東京湾</v>
          </cell>
          <cell r="AQ663" t="str">
            <v/>
          </cell>
          <cell r="AR663" t="str">
            <v>標準活性汚泥法</v>
          </cell>
          <cell r="AS663" t="str">
            <v>1310001003</v>
          </cell>
          <cell r="AT663" t="str">
            <v/>
          </cell>
          <cell r="AU663" t="str">
            <v>00</v>
          </cell>
          <cell r="AV663" t="str">
            <v>00</v>
          </cell>
          <cell r="AW663">
            <v>1</v>
          </cell>
          <cell r="AX663">
            <v>0</v>
          </cell>
          <cell r="AY663">
            <v>0</v>
          </cell>
          <cell r="AZ663">
            <v>0</v>
          </cell>
          <cell r="BA663">
            <v>0</v>
          </cell>
          <cell r="BD663" t="str">
            <v/>
          </cell>
          <cell r="BE663">
            <v>1</v>
          </cell>
          <cell r="BG663" t="str">
            <v>1001</v>
          </cell>
        </row>
        <row r="664">
          <cell r="B664" t="str">
            <v>G131000106100400</v>
          </cell>
          <cell r="C664" t="str">
            <v>13.東京都</v>
          </cell>
          <cell r="D664" t="str">
            <v>100</v>
          </cell>
          <cell r="E664" t="str">
            <v>東京都区部</v>
          </cell>
          <cell r="F664" t="str">
            <v>01</v>
          </cell>
          <cell r="G664" t="str">
            <v>公共 単独</v>
          </cell>
          <cell r="H664" t="str">
            <v>公共下水道</v>
          </cell>
          <cell r="I664" t="str">
            <v>単独</v>
          </cell>
          <cell r="J664" t="str">
            <v>004</v>
          </cell>
          <cell r="K664" t="str">
            <v>みやぎ水再生センター</v>
          </cell>
          <cell r="M664" t="str">
            <v>1</v>
          </cell>
          <cell r="N664" t="str">
            <v>1</v>
          </cell>
          <cell r="Q664">
            <v>22737</v>
          </cell>
          <cell r="R664" t="str">
            <v>昭和</v>
          </cell>
          <cell r="S664">
            <v>37</v>
          </cell>
          <cell r="T664">
            <v>4</v>
          </cell>
          <cell r="AB664">
            <v>105700</v>
          </cell>
          <cell r="AC664" t="str">
            <v>隅田川</v>
          </cell>
          <cell r="AF664">
            <v>15</v>
          </cell>
          <cell r="AK664" t="str">
            <v>隅田川</v>
          </cell>
          <cell r="AQ664" t="str">
            <v/>
          </cell>
          <cell r="AR664" t="str">
            <v>標準活性汚泥法</v>
          </cell>
          <cell r="AS664" t="str">
            <v>1310001004</v>
          </cell>
          <cell r="AT664" t="str">
            <v/>
          </cell>
          <cell r="AU664" t="str">
            <v>10</v>
          </cell>
          <cell r="AV664" t="str">
            <v>10</v>
          </cell>
          <cell r="AW664">
            <v>0</v>
          </cell>
          <cell r="AX664">
            <v>0</v>
          </cell>
          <cell r="AY664">
            <v>0</v>
          </cell>
          <cell r="AZ664">
            <v>0</v>
          </cell>
          <cell r="BA664">
            <v>0</v>
          </cell>
          <cell r="BD664" t="str">
            <v/>
          </cell>
          <cell r="BE664">
            <v>1</v>
          </cell>
          <cell r="BG664" t="str">
            <v>1100</v>
          </cell>
        </row>
        <row r="665">
          <cell r="B665" t="str">
            <v>G131000106100500</v>
          </cell>
          <cell r="C665" t="str">
            <v>13.東京都</v>
          </cell>
          <cell r="D665" t="str">
            <v>100</v>
          </cell>
          <cell r="E665" t="str">
            <v>東京都区部</v>
          </cell>
          <cell r="F665" t="str">
            <v>01</v>
          </cell>
          <cell r="G665" t="str">
            <v>公共 単独</v>
          </cell>
          <cell r="H665" t="str">
            <v>公共下水道</v>
          </cell>
          <cell r="I665" t="str">
            <v>単独</v>
          </cell>
          <cell r="J665" t="str">
            <v>005</v>
          </cell>
          <cell r="K665" t="str">
            <v>落合水再生センター</v>
          </cell>
          <cell r="M665" t="str">
            <v>1</v>
          </cell>
          <cell r="P665" t="str">
            <v>1</v>
          </cell>
          <cell r="Q665">
            <v>23437</v>
          </cell>
          <cell r="R665" t="str">
            <v>昭和</v>
          </cell>
          <cell r="S665">
            <v>39</v>
          </cell>
          <cell r="T665">
            <v>3</v>
          </cell>
          <cell r="AB665">
            <v>85100</v>
          </cell>
          <cell r="AC665" t="str">
            <v>神田川</v>
          </cell>
          <cell r="AF665">
            <v>15</v>
          </cell>
          <cell r="AK665" t="str">
            <v>神田川</v>
          </cell>
          <cell r="AQ665" t="str">
            <v/>
          </cell>
          <cell r="AR665" t="str">
            <v>標準活性汚泥法</v>
          </cell>
          <cell r="AS665" t="str">
            <v>1310001005</v>
          </cell>
          <cell r="AT665" t="str">
            <v/>
          </cell>
          <cell r="AU665" t="str">
            <v>00</v>
          </cell>
          <cell r="AV665" t="str">
            <v>00</v>
          </cell>
          <cell r="AW665">
            <v>1</v>
          </cell>
          <cell r="AX665">
            <v>0</v>
          </cell>
          <cell r="AY665">
            <v>0</v>
          </cell>
          <cell r="AZ665">
            <v>0</v>
          </cell>
          <cell r="BA665">
            <v>0</v>
          </cell>
          <cell r="BD665" t="str">
            <v/>
          </cell>
          <cell r="BE665">
            <v>1</v>
          </cell>
          <cell r="BG665" t="str">
            <v>1001</v>
          </cell>
        </row>
        <row r="666">
          <cell r="B666" t="str">
            <v>G131000106100600</v>
          </cell>
          <cell r="C666" t="str">
            <v>13.東京都</v>
          </cell>
          <cell r="D666" t="str">
            <v>100</v>
          </cell>
          <cell r="E666" t="str">
            <v>東京都区部</v>
          </cell>
          <cell r="F666" t="str">
            <v>01</v>
          </cell>
          <cell r="G666" t="str">
            <v>公共 単独</v>
          </cell>
          <cell r="H666" t="str">
            <v>公共下水道</v>
          </cell>
          <cell r="I666" t="str">
            <v>単独</v>
          </cell>
          <cell r="J666" t="str">
            <v>006</v>
          </cell>
          <cell r="K666" t="str">
            <v>森ヶ崎水再生センター</v>
          </cell>
          <cell r="M666" t="str">
            <v>1</v>
          </cell>
          <cell r="N666" t="str">
            <v>1</v>
          </cell>
          <cell r="O666" t="str">
            <v>1</v>
          </cell>
          <cell r="P666" t="str">
            <v>1</v>
          </cell>
          <cell r="Q666">
            <v>24198</v>
          </cell>
          <cell r="R666" t="str">
            <v>昭和</v>
          </cell>
          <cell r="S666">
            <v>41</v>
          </cell>
          <cell r="T666">
            <v>4</v>
          </cell>
          <cell r="AB666">
            <v>413500</v>
          </cell>
          <cell r="AC666" t="str">
            <v>東京湾</v>
          </cell>
          <cell r="AF666">
            <v>15</v>
          </cell>
          <cell r="AG666">
            <v>20</v>
          </cell>
          <cell r="AH666">
            <v>3</v>
          </cell>
          <cell r="AI666" t="str">
            <v>東京湾</v>
          </cell>
          <cell r="AQ666" t="str">
            <v/>
          </cell>
          <cell r="AR666" t="str">
            <v>標準活性汚泥法</v>
          </cell>
          <cell r="AS666" t="str">
            <v>1310001006</v>
          </cell>
          <cell r="AT666" t="str">
            <v/>
          </cell>
          <cell r="AU666" t="str">
            <v>11</v>
          </cell>
          <cell r="AV666" t="str">
            <v>11</v>
          </cell>
          <cell r="AW666">
            <v>1</v>
          </cell>
          <cell r="AX666">
            <v>0</v>
          </cell>
          <cell r="AY666">
            <v>0</v>
          </cell>
          <cell r="AZ666">
            <v>0</v>
          </cell>
          <cell r="BA666">
            <v>0</v>
          </cell>
          <cell r="BD666" t="str">
            <v/>
          </cell>
          <cell r="BE666">
            <v>1</v>
          </cell>
          <cell r="BG666" t="str">
            <v>1111</v>
          </cell>
        </row>
        <row r="667">
          <cell r="B667" t="str">
            <v>G131000106100700</v>
          </cell>
          <cell r="C667" t="str">
            <v>13.東京都</v>
          </cell>
          <cell r="D667" t="str">
            <v>100</v>
          </cell>
          <cell r="E667" t="str">
            <v>東京都区部</v>
          </cell>
          <cell r="F667" t="str">
            <v>01</v>
          </cell>
          <cell r="G667" t="str">
            <v>公共 単独</v>
          </cell>
          <cell r="H667" t="str">
            <v>公共下水道</v>
          </cell>
          <cell r="I667" t="str">
            <v>単独</v>
          </cell>
          <cell r="J667" t="str">
            <v>007</v>
          </cell>
          <cell r="K667" t="str">
            <v>新河岸水再生センター</v>
          </cell>
          <cell r="M667" t="str">
            <v>1</v>
          </cell>
          <cell r="N667" t="str">
            <v>1</v>
          </cell>
          <cell r="Q667">
            <v>27273</v>
          </cell>
          <cell r="R667" t="str">
            <v>昭和</v>
          </cell>
          <cell r="S667">
            <v>49</v>
          </cell>
          <cell r="T667">
            <v>9</v>
          </cell>
          <cell r="AB667">
            <v>193500</v>
          </cell>
          <cell r="AC667" t="str">
            <v>新河岸川</v>
          </cell>
          <cell r="AF667">
            <v>15</v>
          </cell>
          <cell r="AK667" t="str">
            <v>新河岸川</v>
          </cell>
          <cell r="AQ667" t="str">
            <v/>
          </cell>
          <cell r="AR667" t="str">
            <v>標準活性汚泥法</v>
          </cell>
          <cell r="AS667" t="str">
            <v>1310001007</v>
          </cell>
          <cell r="AT667" t="str">
            <v/>
          </cell>
          <cell r="AU667" t="str">
            <v>10</v>
          </cell>
          <cell r="AV667" t="str">
            <v>10</v>
          </cell>
          <cell r="AW667">
            <v>0</v>
          </cell>
          <cell r="AX667">
            <v>0</v>
          </cell>
          <cell r="AY667">
            <v>0</v>
          </cell>
          <cell r="AZ667">
            <v>0</v>
          </cell>
          <cell r="BA667">
            <v>0</v>
          </cell>
          <cell r="BD667" t="str">
            <v/>
          </cell>
          <cell r="BE667">
            <v>1</v>
          </cell>
          <cell r="BG667" t="str">
            <v>1100</v>
          </cell>
        </row>
        <row r="668">
          <cell r="B668" t="str">
            <v>G131000106100800</v>
          </cell>
          <cell r="C668" t="str">
            <v>13.東京都</v>
          </cell>
          <cell r="D668" t="str">
            <v>100</v>
          </cell>
          <cell r="E668" t="str">
            <v>東京都区部</v>
          </cell>
          <cell r="F668" t="str">
            <v>01</v>
          </cell>
          <cell r="G668" t="str">
            <v>公共 単独</v>
          </cell>
          <cell r="H668" t="str">
            <v>公共下水道</v>
          </cell>
          <cell r="I668" t="str">
            <v>単独</v>
          </cell>
          <cell r="J668" t="str">
            <v>008</v>
          </cell>
          <cell r="K668" t="str">
            <v>小菅水再生センター</v>
          </cell>
          <cell r="M668" t="str">
            <v>1</v>
          </cell>
          <cell r="Q668">
            <v>28277</v>
          </cell>
          <cell r="R668" t="str">
            <v>昭和</v>
          </cell>
          <cell r="S668">
            <v>52</v>
          </cell>
          <cell r="T668">
            <v>6</v>
          </cell>
          <cell r="AB668">
            <v>140300</v>
          </cell>
          <cell r="AF668">
            <v>15</v>
          </cell>
          <cell r="AH668">
            <v>3</v>
          </cell>
          <cell r="AK668" t="str">
            <v>荒川、綾瀬川</v>
          </cell>
          <cell r="AQ668" t="str">
            <v/>
          </cell>
          <cell r="AR668" t="str">
            <v>嫌気好気活性汚泥法</v>
          </cell>
          <cell r="AS668" t="str">
            <v>1310001008</v>
          </cell>
          <cell r="AT668" t="str">
            <v/>
          </cell>
          <cell r="AU668" t="str">
            <v>00</v>
          </cell>
          <cell r="AV668" t="str">
            <v>00</v>
          </cell>
          <cell r="AW668">
            <v>0</v>
          </cell>
          <cell r="AX668">
            <v>0</v>
          </cell>
          <cell r="AY668">
            <v>0</v>
          </cell>
          <cell r="AZ668">
            <v>0</v>
          </cell>
          <cell r="BA668">
            <v>0</v>
          </cell>
          <cell r="BD668" t="str">
            <v/>
          </cell>
          <cell r="BE668">
            <v>1</v>
          </cell>
          <cell r="BG668" t="str">
            <v>1000</v>
          </cell>
        </row>
        <row r="669">
          <cell r="B669" t="str">
            <v>G131000106100900</v>
          </cell>
          <cell r="C669" t="str">
            <v>13.東京都</v>
          </cell>
          <cell r="D669" t="str">
            <v>100</v>
          </cell>
          <cell r="E669" t="str">
            <v>東京都区部</v>
          </cell>
          <cell r="F669" t="str">
            <v>01</v>
          </cell>
          <cell r="G669" t="str">
            <v>公共 単独</v>
          </cell>
          <cell r="H669" t="str">
            <v>公共下水道</v>
          </cell>
          <cell r="I669" t="str">
            <v>単独</v>
          </cell>
          <cell r="J669" t="str">
            <v>009</v>
          </cell>
          <cell r="K669" t="str">
            <v>葛西水再生センター</v>
          </cell>
          <cell r="M669" t="str">
            <v>1</v>
          </cell>
          <cell r="N669" t="str">
            <v>1</v>
          </cell>
          <cell r="O669" t="str">
            <v>1</v>
          </cell>
          <cell r="Q669">
            <v>29830</v>
          </cell>
          <cell r="R669" t="str">
            <v>昭和</v>
          </cell>
          <cell r="S669">
            <v>56</v>
          </cell>
          <cell r="T669">
            <v>9</v>
          </cell>
          <cell r="AB669">
            <v>362000</v>
          </cell>
          <cell r="AC669" t="str">
            <v>東京湾</v>
          </cell>
          <cell r="AF669">
            <v>15</v>
          </cell>
          <cell r="AI669" t="str">
            <v>東京湾</v>
          </cell>
          <cell r="AQ669" t="str">
            <v/>
          </cell>
          <cell r="AR669" t="str">
            <v>標準活性汚泥法</v>
          </cell>
          <cell r="AS669" t="str">
            <v>1310001009</v>
          </cell>
          <cell r="AT669" t="str">
            <v/>
          </cell>
          <cell r="AU669" t="str">
            <v>11</v>
          </cell>
          <cell r="AV669" t="str">
            <v>11</v>
          </cell>
          <cell r="AW669">
            <v>0</v>
          </cell>
          <cell r="AX669">
            <v>0</v>
          </cell>
          <cell r="AY669">
            <v>0</v>
          </cell>
          <cell r="AZ669">
            <v>0</v>
          </cell>
          <cell r="BA669">
            <v>0</v>
          </cell>
          <cell r="BD669" t="str">
            <v/>
          </cell>
          <cell r="BE669">
            <v>1</v>
          </cell>
          <cell r="BG669" t="str">
            <v>1110</v>
          </cell>
        </row>
        <row r="670">
          <cell r="B670" t="str">
            <v>G131000106101000</v>
          </cell>
          <cell r="C670" t="str">
            <v>13.東京都</v>
          </cell>
          <cell r="D670" t="str">
            <v>100</v>
          </cell>
          <cell r="E670" t="str">
            <v>東京都区部</v>
          </cell>
          <cell r="F670" t="str">
            <v>01</v>
          </cell>
          <cell r="G670" t="str">
            <v>公共 単独</v>
          </cell>
          <cell r="H670" t="str">
            <v>公共下水道</v>
          </cell>
          <cell r="I670" t="str">
            <v>単独</v>
          </cell>
          <cell r="J670" t="str">
            <v>010</v>
          </cell>
          <cell r="K670" t="str">
            <v>南部スラッジプラント</v>
          </cell>
          <cell r="N670" t="str">
            <v>1</v>
          </cell>
          <cell r="Q670">
            <v>30590</v>
          </cell>
          <cell r="R670" t="str">
            <v>昭和</v>
          </cell>
          <cell r="S670">
            <v>58</v>
          </cell>
          <cell r="T670">
            <v>10</v>
          </cell>
          <cell r="AB670">
            <v>71850</v>
          </cell>
          <cell r="AC670" t="str">
            <v>該当しない</v>
          </cell>
          <cell r="AI670" t="str">
            <v>該当しない</v>
          </cell>
          <cell r="AQ670" t="str">
            <v/>
          </cell>
          <cell r="AR670" t="str">
            <v/>
          </cell>
          <cell r="AS670" t="str">
            <v>1310001010</v>
          </cell>
          <cell r="AT670" t="str">
            <v/>
          </cell>
          <cell r="AU670" t="str">
            <v>10</v>
          </cell>
          <cell r="AV670" t="str">
            <v>10</v>
          </cell>
          <cell r="AW670">
            <v>0</v>
          </cell>
          <cell r="AX670">
            <v>0</v>
          </cell>
          <cell r="AY670">
            <v>0</v>
          </cell>
          <cell r="AZ670">
            <v>0</v>
          </cell>
          <cell r="BA670">
            <v>0</v>
          </cell>
          <cell r="BD670" t="str">
            <v/>
          </cell>
          <cell r="BE670">
            <v>1</v>
          </cell>
          <cell r="BG670" t="str">
            <v>0100</v>
          </cell>
        </row>
        <row r="671">
          <cell r="B671" t="str">
            <v>G131000106101100</v>
          </cell>
          <cell r="C671" t="str">
            <v>13.東京都</v>
          </cell>
          <cell r="D671" t="str">
            <v>100</v>
          </cell>
          <cell r="E671" t="str">
            <v>東京都区部</v>
          </cell>
          <cell r="F671" t="str">
            <v>01</v>
          </cell>
          <cell r="G671" t="str">
            <v>公共 単独</v>
          </cell>
          <cell r="H671" t="str">
            <v>公共下水道</v>
          </cell>
          <cell r="I671" t="str">
            <v>単独</v>
          </cell>
          <cell r="J671" t="str">
            <v>011</v>
          </cell>
          <cell r="K671" t="str">
            <v>中川水再生センター</v>
          </cell>
          <cell r="M671" t="str">
            <v>1</v>
          </cell>
          <cell r="Q671">
            <v>30773</v>
          </cell>
          <cell r="R671" t="str">
            <v>昭和</v>
          </cell>
          <cell r="S671">
            <v>59</v>
          </cell>
          <cell r="T671">
            <v>4</v>
          </cell>
          <cell r="AB671">
            <v>309900</v>
          </cell>
          <cell r="AC671" t="str">
            <v>中川</v>
          </cell>
          <cell r="AF671">
            <v>15</v>
          </cell>
          <cell r="AK671" t="str">
            <v>中川</v>
          </cell>
          <cell r="AQ671" t="str">
            <v/>
          </cell>
          <cell r="AR671" t="str">
            <v>標準活性汚泥法</v>
          </cell>
          <cell r="AS671" t="str">
            <v>1310001011</v>
          </cell>
          <cell r="AT671" t="str">
            <v/>
          </cell>
          <cell r="AU671" t="str">
            <v>00</v>
          </cell>
          <cell r="AV671" t="str">
            <v>00</v>
          </cell>
          <cell r="AW671">
            <v>0</v>
          </cell>
          <cell r="AX671">
            <v>0</v>
          </cell>
          <cell r="AY671">
            <v>0</v>
          </cell>
          <cell r="AZ671">
            <v>0</v>
          </cell>
          <cell r="BA671">
            <v>0</v>
          </cell>
          <cell r="BD671" t="str">
            <v/>
          </cell>
          <cell r="BE671">
            <v>1</v>
          </cell>
          <cell r="BG671" t="str">
            <v>1000</v>
          </cell>
        </row>
        <row r="672">
          <cell r="B672" t="str">
            <v>G131000106101200</v>
          </cell>
          <cell r="C672" t="str">
            <v>13.東京都</v>
          </cell>
          <cell r="D672" t="str">
            <v>100</v>
          </cell>
          <cell r="E672" t="str">
            <v>東京都区部</v>
          </cell>
          <cell r="F672" t="str">
            <v>01</v>
          </cell>
          <cell r="G672" t="str">
            <v>公共 単独</v>
          </cell>
          <cell r="H672" t="str">
            <v>公共下水道</v>
          </cell>
          <cell r="I672" t="str">
            <v>単独</v>
          </cell>
          <cell r="J672" t="str">
            <v>012</v>
          </cell>
          <cell r="K672" t="str">
            <v>中野水再生センター</v>
          </cell>
          <cell r="M672" t="str">
            <v>1</v>
          </cell>
          <cell r="Q672">
            <v>34881</v>
          </cell>
          <cell r="R672" t="str">
            <v>平成</v>
          </cell>
          <cell r="S672">
            <v>7</v>
          </cell>
          <cell r="T672">
            <v>7</v>
          </cell>
          <cell r="AB672">
            <v>63000</v>
          </cell>
          <cell r="AF672">
            <v>15</v>
          </cell>
          <cell r="AI672" t="str">
            <v>妙生寺川</v>
          </cell>
          <cell r="AK672" t="str">
            <v>神田川</v>
          </cell>
          <cell r="AQ672" t="str">
            <v/>
          </cell>
          <cell r="AR672" t="str">
            <v>標準活性汚泥法</v>
          </cell>
          <cell r="AS672" t="str">
            <v>1310001012</v>
          </cell>
          <cell r="AT672" t="str">
            <v/>
          </cell>
          <cell r="AU672" t="str">
            <v>00</v>
          </cell>
          <cell r="AV672" t="str">
            <v>00</v>
          </cell>
          <cell r="AW672">
            <v>0</v>
          </cell>
          <cell r="AX672">
            <v>0</v>
          </cell>
          <cell r="AY672">
            <v>0</v>
          </cell>
          <cell r="AZ672">
            <v>0</v>
          </cell>
          <cell r="BA672">
            <v>0</v>
          </cell>
          <cell r="BD672" t="str">
            <v/>
          </cell>
          <cell r="BE672">
            <v>1</v>
          </cell>
          <cell r="BG672" t="str">
            <v>1000</v>
          </cell>
        </row>
        <row r="673">
          <cell r="B673" t="str">
            <v>G131000106101300</v>
          </cell>
          <cell r="C673" t="str">
            <v>13.東京都</v>
          </cell>
          <cell r="D673" t="str">
            <v>100</v>
          </cell>
          <cell r="E673" t="str">
            <v>東京都区部</v>
          </cell>
          <cell r="F673" t="str">
            <v>01</v>
          </cell>
          <cell r="G673" t="str">
            <v>公共 単独</v>
          </cell>
          <cell r="H673" t="str">
            <v>公共下水道</v>
          </cell>
          <cell r="I673" t="str">
            <v>単独</v>
          </cell>
          <cell r="J673" t="str">
            <v>013</v>
          </cell>
          <cell r="K673" t="str">
            <v>有明水再生センター</v>
          </cell>
          <cell r="M673" t="str">
            <v>1</v>
          </cell>
          <cell r="P673" t="str">
            <v>1</v>
          </cell>
          <cell r="Q673">
            <v>34943</v>
          </cell>
          <cell r="R673" t="str">
            <v>平成</v>
          </cell>
          <cell r="S673">
            <v>7</v>
          </cell>
          <cell r="T673">
            <v>9</v>
          </cell>
          <cell r="AB673">
            <v>46600</v>
          </cell>
          <cell r="AF673">
            <v>15</v>
          </cell>
          <cell r="AG673">
            <v>19</v>
          </cell>
          <cell r="AH673">
            <v>1</v>
          </cell>
          <cell r="AI673" t="str">
            <v>東京湾</v>
          </cell>
          <cell r="AQ673" t="str">
            <v/>
          </cell>
          <cell r="AR673" t="str">
            <v>嫌気無酸素好気法</v>
          </cell>
          <cell r="AS673" t="str">
            <v>1310001013</v>
          </cell>
          <cell r="AT673" t="str">
            <v/>
          </cell>
          <cell r="AU673" t="str">
            <v>00</v>
          </cell>
          <cell r="AV673" t="str">
            <v>00</v>
          </cell>
          <cell r="AW673">
            <v>1</v>
          </cell>
          <cell r="AX673">
            <v>0</v>
          </cell>
          <cell r="AY673">
            <v>0</v>
          </cell>
          <cell r="AZ673">
            <v>0</v>
          </cell>
          <cell r="BA673">
            <v>0</v>
          </cell>
          <cell r="BD673" t="str">
            <v/>
          </cell>
          <cell r="BE673">
            <v>1</v>
          </cell>
          <cell r="BG673" t="str">
            <v>1001</v>
          </cell>
        </row>
        <row r="674">
          <cell r="B674" t="str">
            <v>G131000106101400</v>
          </cell>
          <cell r="C674" t="str">
            <v>13.東京都</v>
          </cell>
          <cell r="D674" t="str">
            <v>100</v>
          </cell>
          <cell r="E674" t="str">
            <v>東京都区部</v>
          </cell>
          <cell r="F674" t="str">
            <v>01</v>
          </cell>
          <cell r="G674" t="str">
            <v>公共 単独</v>
          </cell>
          <cell r="H674" t="str">
            <v>公共下水道</v>
          </cell>
          <cell r="I674" t="str">
            <v>単独</v>
          </cell>
          <cell r="J674" t="str">
            <v>014</v>
          </cell>
          <cell r="K674" t="str">
            <v>浮間水再生センター</v>
          </cell>
          <cell r="M674" t="str">
            <v>1</v>
          </cell>
          <cell r="Q674">
            <v>36982</v>
          </cell>
          <cell r="R674" t="str">
            <v>平成</v>
          </cell>
          <cell r="S674">
            <v>13</v>
          </cell>
          <cell r="T674">
            <v>4</v>
          </cell>
          <cell r="AB674">
            <v>207000</v>
          </cell>
          <cell r="AC674" t="str">
            <v>新河岸川</v>
          </cell>
          <cell r="AF674">
            <v>15</v>
          </cell>
          <cell r="AG674">
            <v>20</v>
          </cell>
          <cell r="AH674">
            <v>3</v>
          </cell>
          <cell r="AK674" t="str">
            <v>新河岸川</v>
          </cell>
          <cell r="AQ674" t="str">
            <v/>
          </cell>
          <cell r="AR674" t="str">
            <v>嫌気無酸素好気法</v>
          </cell>
          <cell r="AS674" t="str">
            <v>1310001014</v>
          </cell>
          <cell r="AT674" t="str">
            <v/>
          </cell>
          <cell r="AU674" t="str">
            <v>00</v>
          </cell>
          <cell r="AV674" t="str">
            <v>00</v>
          </cell>
          <cell r="AW674">
            <v>0</v>
          </cell>
          <cell r="AX674">
            <v>0</v>
          </cell>
          <cell r="AY674">
            <v>0</v>
          </cell>
          <cell r="AZ674">
            <v>0</v>
          </cell>
          <cell r="BA674">
            <v>0</v>
          </cell>
          <cell r="BD674" t="str">
            <v/>
          </cell>
          <cell r="BE674">
            <v>1</v>
          </cell>
          <cell r="BG674" t="str">
            <v>1000</v>
          </cell>
        </row>
        <row r="675">
          <cell r="B675" t="str">
            <v>G132010106100100</v>
          </cell>
          <cell r="C675" t="str">
            <v>13.東京都</v>
          </cell>
          <cell r="D675" t="str">
            <v>201</v>
          </cell>
          <cell r="E675" t="str">
            <v>八王子市</v>
          </cell>
          <cell r="F675" t="str">
            <v>01</v>
          </cell>
          <cell r="G675" t="str">
            <v>公共 単独</v>
          </cell>
          <cell r="H675" t="str">
            <v>公共下水道</v>
          </cell>
          <cell r="I675" t="str">
            <v>単独</v>
          </cell>
          <cell r="J675" t="str">
            <v>001</v>
          </cell>
          <cell r="K675" t="str">
            <v>北野下水処理場</v>
          </cell>
          <cell r="M675" t="str">
            <v>1</v>
          </cell>
          <cell r="N675" t="str">
            <v>1</v>
          </cell>
          <cell r="Q675">
            <v>25385</v>
          </cell>
          <cell r="R675" t="str">
            <v>昭和</v>
          </cell>
          <cell r="S675">
            <v>44</v>
          </cell>
          <cell r="T675">
            <v>7</v>
          </cell>
          <cell r="AB675">
            <v>79471</v>
          </cell>
          <cell r="AC675" t="str">
            <v>浅川</v>
          </cell>
          <cell r="AD675" t="str">
            <v>Ａ</v>
          </cell>
          <cell r="AE675" t="str">
            <v>ハ</v>
          </cell>
          <cell r="AF675">
            <v>15</v>
          </cell>
          <cell r="AK675" t="str">
            <v>浅川</v>
          </cell>
          <cell r="AQ675" t="str">
            <v/>
          </cell>
          <cell r="AR675" t="str">
            <v>標準活性汚泥法</v>
          </cell>
          <cell r="AS675" t="str">
            <v>1320101001</v>
          </cell>
          <cell r="AT675" t="str">
            <v/>
          </cell>
          <cell r="AU675" t="str">
            <v>10</v>
          </cell>
          <cell r="AV675" t="str">
            <v>10</v>
          </cell>
          <cell r="AW675">
            <v>0</v>
          </cell>
          <cell r="AX675">
            <v>0</v>
          </cell>
          <cell r="AY675">
            <v>0</v>
          </cell>
          <cell r="AZ675">
            <v>0</v>
          </cell>
          <cell r="BA675">
            <v>0</v>
          </cell>
          <cell r="BD675" t="str">
            <v/>
          </cell>
          <cell r="BE675">
            <v>1</v>
          </cell>
          <cell r="BG675" t="str">
            <v>1100</v>
          </cell>
        </row>
        <row r="676">
          <cell r="B676" t="str">
            <v>G132020106100100</v>
          </cell>
          <cell r="C676" t="str">
            <v>13.東京都</v>
          </cell>
          <cell r="D676" t="str">
            <v>202</v>
          </cell>
          <cell r="E676" t="str">
            <v>立川市</v>
          </cell>
          <cell r="F676" t="str">
            <v>01</v>
          </cell>
          <cell r="G676" t="str">
            <v>公共 単独</v>
          </cell>
          <cell r="H676" t="str">
            <v>公共下水道</v>
          </cell>
          <cell r="I676" t="str">
            <v>単独</v>
          </cell>
          <cell r="J676" t="str">
            <v>001</v>
          </cell>
          <cell r="K676" t="str">
            <v>立川市錦町下水処理場</v>
          </cell>
          <cell r="M676" t="str">
            <v>1</v>
          </cell>
          <cell r="N676" t="str">
            <v>1</v>
          </cell>
          <cell r="P676" t="str">
            <v>1</v>
          </cell>
          <cell r="Q676">
            <v>24746</v>
          </cell>
          <cell r="R676" t="str">
            <v>昭和</v>
          </cell>
          <cell r="S676">
            <v>42</v>
          </cell>
          <cell r="T676">
            <v>10</v>
          </cell>
          <cell r="AB676">
            <v>35590</v>
          </cell>
          <cell r="AC676" t="str">
            <v>多摩川水系</v>
          </cell>
          <cell r="AD676" t="str">
            <v>Ｂ</v>
          </cell>
          <cell r="AE676" t="str">
            <v>イ</v>
          </cell>
          <cell r="AF676">
            <v>15</v>
          </cell>
          <cell r="AG676">
            <v>20</v>
          </cell>
          <cell r="AH676">
            <v>3</v>
          </cell>
          <cell r="AK676" t="str">
            <v>多摩川</v>
          </cell>
          <cell r="AL676" t="str">
            <v>拝島原水補給所</v>
          </cell>
          <cell r="AM676">
            <v>11</v>
          </cell>
          <cell r="AO676" t="str">
            <v>東京都水道局</v>
          </cell>
          <cell r="AQ676" t="str">
            <v/>
          </cell>
          <cell r="AR676" t="str">
            <v>ステップエアレーション法</v>
          </cell>
          <cell r="AS676" t="str">
            <v>1320201001</v>
          </cell>
          <cell r="AT676" t="str">
            <v/>
          </cell>
          <cell r="AU676" t="str">
            <v>10</v>
          </cell>
          <cell r="AV676" t="str">
            <v>10</v>
          </cell>
          <cell r="AW676">
            <v>1</v>
          </cell>
          <cell r="AX676">
            <v>0</v>
          </cell>
          <cell r="AY676">
            <v>0</v>
          </cell>
          <cell r="AZ676">
            <v>0</v>
          </cell>
          <cell r="BA676">
            <v>0</v>
          </cell>
          <cell r="BD676" t="str">
            <v/>
          </cell>
          <cell r="BE676">
            <v>1</v>
          </cell>
          <cell r="BG676" t="str">
            <v>1101</v>
          </cell>
        </row>
        <row r="677">
          <cell r="B677" t="str">
            <v>G132040106100100</v>
          </cell>
          <cell r="C677" t="str">
            <v>13.東京都</v>
          </cell>
          <cell r="D677" t="str">
            <v>204</v>
          </cell>
          <cell r="E677" t="str">
            <v>三鷹市</v>
          </cell>
          <cell r="F677" t="str">
            <v>01</v>
          </cell>
          <cell r="G677" t="str">
            <v>公共 単独</v>
          </cell>
          <cell r="H677" t="str">
            <v>公共下水道</v>
          </cell>
          <cell r="I677" t="str">
            <v>単独</v>
          </cell>
          <cell r="J677" t="str">
            <v>001</v>
          </cell>
          <cell r="K677" t="str">
            <v>東部水再生センター</v>
          </cell>
          <cell r="M677" t="str">
            <v>1</v>
          </cell>
          <cell r="N677" t="str">
            <v>1</v>
          </cell>
          <cell r="Q677">
            <v>25020</v>
          </cell>
          <cell r="R677" t="str">
            <v>昭和</v>
          </cell>
          <cell r="S677">
            <v>43</v>
          </cell>
          <cell r="T677">
            <v>7</v>
          </cell>
          <cell r="U677" t="str">
            <v>名称変更</v>
          </cell>
          <cell r="V677">
            <v>41000</v>
          </cell>
          <cell r="W677" t="str">
            <v>平成</v>
          </cell>
          <cell r="X677">
            <v>24</v>
          </cell>
          <cell r="Y677">
            <v>4</v>
          </cell>
          <cell r="Z677" t="str">
            <v>東部下水処理場</v>
          </cell>
          <cell r="AB677">
            <v>17180</v>
          </cell>
          <cell r="AC677" t="str">
            <v>多摩川</v>
          </cell>
          <cell r="AD677" t="str">
            <v>Ｄ</v>
          </cell>
          <cell r="AE677" t="str">
            <v>ハ</v>
          </cell>
          <cell r="AF677">
            <v>15</v>
          </cell>
          <cell r="AK677" t="str">
            <v>仙川</v>
          </cell>
          <cell r="AQ677" t="str">
            <v/>
          </cell>
          <cell r="AR677" t="str">
            <v>標準活性汚泥法</v>
          </cell>
          <cell r="AS677" t="str">
            <v>1320401001</v>
          </cell>
          <cell r="AT677" t="str">
            <v/>
          </cell>
          <cell r="AU677" t="str">
            <v>10</v>
          </cell>
          <cell r="AV677" t="str">
            <v>10</v>
          </cell>
          <cell r="AW677">
            <v>0</v>
          </cell>
          <cell r="AX677">
            <v>0</v>
          </cell>
          <cell r="AY677">
            <v>0</v>
          </cell>
          <cell r="AZ677">
            <v>0</v>
          </cell>
          <cell r="BA677">
            <v>0</v>
          </cell>
          <cell r="BD677" t="str">
            <v/>
          </cell>
          <cell r="BE677">
            <v>1</v>
          </cell>
          <cell r="BG677" t="str">
            <v>1100</v>
          </cell>
        </row>
        <row r="678">
          <cell r="B678" t="str">
            <v>G132090106100100</v>
          </cell>
          <cell r="C678" t="str">
            <v>13.東京都</v>
          </cell>
          <cell r="D678" t="str">
            <v>209</v>
          </cell>
          <cell r="E678" t="str">
            <v>町田市</v>
          </cell>
          <cell r="F678" t="str">
            <v>01</v>
          </cell>
          <cell r="G678" t="str">
            <v>公共 単独</v>
          </cell>
          <cell r="H678" t="str">
            <v>公共下水道</v>
          </cell>
          <cell r="I678" t="str">
            <v>単独</v>
          </cell>
          <cell r="J678" t="str">
            <v>001</v>
          </cell>
          <cell r="K678" t="str">
            <v>成瀬クリーンセンター</v>
          </cell>
          <cell r="M678" t="str">
            <v>1</v>
          </cell>
          <cell r="N678" t="str">
            <v>1</v>
          </cell>
          <cell r="Q678">
            <v>28399</v>
          </cell>
          <cell r="R678" t="str">
            <v>昭和</v>
          </cell>
          <cell r="S678">
            <v>52</v>
          </cell>
          <cell r="T678">
            <v>10</v>
          </cell>
          <cell r="AB678">
            <v>52400</v>
          </cell>
          <cell r="AC678" t="str">
            <v>鶴見川上流</v>
          </cell>
          <cell r="AD678" t="str">
            <v>Ｃ</v>
          </cell>
          <cell r="AE678" t="str">
            <v>ロ</v>
          </cell>
          <cell r="AF678">
            <v>15</v>
          </cell>
          <cell r="AG678">
            <v>14</v>
          </cell>
          <cell r="AH678">
            <v>1.3</v>
          </cell>
          <cell r="AK678" t="str">
            <v>恩田川</v>
          </cell>
          <cell r="AQ678" t="str">
            <v/>
          </cell>
          <cell r="AR678" t="str">
            <v>標準活性汚泥法</v>
          </cell>
          <cell r="AS678" t="str">
            <v>1320901001</v>
          </cell>
          <cell r="AT678" t="str">
            <v/>
          </cell>
          <cell r="AU678" t="str">
            <v>10</v>
          </cell>
          <cell r="AV678" t="str">
            <v>10</v>
          </cell>
          <cell r="AW678">
            <v>0</v>
          </cell>
          <cell r="AX678">
            <v>0</v>
          </cell>
          <cell r="AY678">
            <v>0</v>
          </cell>
          <cell r="AZ678">
            <v>0</v>
          </cell>
          <cell r="BA678">
            <v>0</v>
          </cell>
          <cell r="BD678" t="str">
            <v/>
          </cell>
          <cell r="BE678">
            <v>1</v>
          </cell>
          <cell r="BG678" t="str">
            <v>1100</v>
          </cell>
        </row>
        <row r="679">
          <cell r="B679" t="str">
            <v>G132090106100200</v>
          </cell>
          <cell r="C679" t="str">
            <v>13.東京都</v>
          </cell>
          <cell r="D679" t="str">
            <v>209</v>
          </cell>
          <cell r="E679" t="str">
            <v>町田市</v>
          </cell>
          <cell r="F679" t="str">
            <v>01</v>
          </cell>
          <cell r="G679" t="str">
            <v>公共 単独</v>
          </cell>
          <cell r="H679" t="str">
            <v>公共下水道</v>
          </cell>
          <cell r="I679" t="str">
            <v>単独</v>
          </cell>
          <cell r="J679" t="str">
            <v>002</v>
          </cell>
          <cell r="K679" t="str">
            <v>鶴見川クリーンセンター</v>
          </cell>
          <cell r="M679" t="str">
            <v>1</v>
          </cell>
          <cell r="N679" t="str">
            <v>1</v>
          </cell>
          <cell r="Q679">
            <v>32905</v>
          </cell>
          <cell r="R679" t="str">
            <v>平成</v>
          </cell>
          <cell r="S679">
            <v>2</v>
          </cell>
          <cell r="T679">
            <v>2</v>
          </cell>
          <cell r="AB679">
            <v>201100</v>
          </cell>
          <cell r="AC679" t="str">
            <v>鶴見川</v>
          </cell>
          <cell r="AD679" t="str">
            <v>Ｄ</v>
          </cell>
          <cell r="AE679" t="str">
            <v>ロ</v>
          </cell>
          <cell r="AI679" t="str">
            <v>三輪雨水幹線</v>
          </cell>
          <cell r="AK679" t="str">
            <v>鶴見川</v>
          </cell>
          <cell r="AQ679" t="str">
            <v/>
          </cell>
          <cell r="AR679" t="str">
            <v>標準活性汚泥法</v>
          </cell>
          <cell r="AS679" t="str">
            <v>1320901002</v>
          </cell>
          <cell r="AT679" t="str">
            <v/>
          </cell>
          <cell r="AU679" t="str">
            <v>10</v>
          </cell>
          <cell r="AV679" t="str">
            <v>10</v>
          </cell>
          <cell r="AW679">
            <v>0</v>
          </cell>
          <cell r="AX679">
            <v>0</v>
          </cell>
          <cell r="AY679">
            <v>0</v>
          </cell>
          <cell r="AZ679">
            <v>0</v>
          </cell>
          <cell r="BA679">
            <v>0</v>
          </cell>
          <cell r="BD679" t="str">
            <v/>
          </cell>
          <cell r="BE679">
            <v>1</v>
          </cell>
          <cell r="BG679" t="str">
            <v>1100</v>
          </cell>
        </row>
        <row r="680">
          <cell r="B680" t="str">
            <v>G133080206100100</v>
          </cell>
          <cell r="C680" t="str">
            <v>13.東京都</v>
          </cell>
          <cell r="D680" t="str">
            <v>308</v>
          </cell>
          <cell r="E680" t="str">
            <v>奥多摩町</v>
          </cell>
          <cell r="F680" t="str">
            <v>02</v>
          </cell>
          <cell r="G680" t="str">
            <v>特環 単独</v>
          </cell>
          <cell r="H680" t="str">
            <v>特定環境保全公共下水道</v>
          </cell>
          <cell r="I680" t="str">
            <v>単独</v>
          </cell>
          <cell r="J680" t="str">
            <v>001</v>
          </cell>
          <cell r="K680" t="str">
            <v>小河内浄化センター</v>
          </cell>
          <cell r="M680" t="str">
            <v>1</v>
          </cell>
          <cell r="N680" t="str">
            <v>1</v>
          </cell>
          <cell r="Q680">
            <v>35977</v>
          </cell>
          <cell r="R680" t="str">
            <v>平成</v>
          </cell>
          <cell r="S680">
            <v>10</v>
          </cell>
          <cell r="T680">
            <v>7</v>
          </cell>
          <cell r="AB680">
            <v>2772</v>
          </cell>
          <cell r="AC680" t="str">
            <v>多摩川上流</v>
          </cell>
          <cell r="AD680" t="str">
            <v>ＡＡ</v>
          </cell>
          <cell r="AE680" t="str">
            <v>イ</v>
          </cell>
          <cell r="AF680">
            <v>5</v>
          </cell>
          <cell r="AG680">
            <v>10</v>
          </cell>
          <cell r="AI680" t="str">
            <v>水根沢</v>
          </cell>
          <cell r="AK680" t="str">
            <v>多摩川</v>
          </cell>
          <cell r="AL680" t="str">
            <v>小作取水堰</v>
          </cell>
          <cell r="AN680">
            <v>30</v>
          </cell>
          <cell r="AO680" t="str">
            <v>多摩地域市町</v>
          </cell>
          <cell r="AQ680" t="str">
            <v/>
          </cell>
          <cell r="AR680" t="str">
            <v>オキシディションディッチ法</v>
          </cell>
          <cell r="AS680" t="str">
            <v>1330802001</v>
          </cell>
          <cell r="AT680" t="str">
            <v/>
          </cell>
          <cell r="AU680" t="str">
            <v>10</v>
          </cell>
          <cell r="AV680" t="str">
            <v>10</v>
          </cell>
          <cell r="AW680">
            <v>0</v>
          </cell>
          <cell r="AX680">
            <v>0</v>
          </cell>
          <cell r="AY680">
            <v>0</v>
          </cell>
          <cell r="AZ680">
            <v>0</v>
          </cell>
          <cell r="BA680">
            <v>0</v>
          </cell>
          <cell r="BD680" t="str">
            <v/>
          </cell>
          <cell r="BE680">
            <v>1</v>
          </cell>
          <cell r="BG680" t="str">
            <v>1100</v>
          </cell>
        </row>
        <row r="681">
          <cell r="B681" t="str">
            <v>G133630206100100</v>
          </cell>
          <cell r="C681" t="str">
            <v>13.東京都</v>
          </cell>
          <cell r="D681" t="str">
            <v>363</v>
          </cell>
          <cell r="E681" t="str">
            <v>新島村</v>
          </cell>
          <cell r="F681" t="str">
            <v>02</v>
          </cell>
          <cell r="G681" t="str">
            <v>特環 単独</v>
          </cell>
          <cell r="H681" t="str">
            <v>特定環境保全公共下水道</v>
          </cell>
          <cell r="I681" t="str">
            <v>単独</v>
          </cell>
          <cell r="J681" t="str">
            <v>001</v>
          </cell>
          <cell r="K681" t="str">
            <v>本村水処理センター</v>
          </cell>
          <cell r="M681" t="str">
            <v>1</v>
          </cell>
          <cell r="N681" t="str">
            <v>1</v>
          </cell>
          <cell r="Q681">
            <v>39173</v>
          </cell>
          <cell r="R681" t="str">
            <v>平成</v>
          </cell>
          <cell r="S681">
            <v>19</v>
          </cell>
          <cell r="T681">
            <v>4</v>
          </cell>
          <cell r="AB681">
            <v>10269</v>
          </cell>
          <cell r="AC681" t="str">
            <v>太平洋</v>
          </cell>
          <cell r="AF681">
            <v>15</v>
          </cell>
          <cell r="AG681">
            <v>20</v>
          </cell>
          <cell r="AH681">
            <v>3</v>
          </cell>
          <cell r="AI681" t="str">
            <v>太平洋</v>
          </cell>
          <cell r="AL681" t="str">
            <v>5号井</v>
          </cell>
          <cell r="AO681" t="str">
            <v>新島村</v>
          </cell>
          <cell r="AQ681" t="str">
            <v/>
          </cell>
          <cell r="AR681" t="str">
            <v>オキシディションディッチ法</v>
          </cell>
          <cell r="AS681" t="str">
            <v>1336302001</v>
          </cell>
          <cell r="AT681" t="str">
            <v/>
          </cell>
          <cell r="AU681" t="str">
            <v>10</v>
          </cell>
          <cell r="AV681" t="str">
            <v>10</v>
          </cell>
          <cell r="AW681">
            <v>0</v>
          </cell>
          <cell r="AX681">
            <v>0</v>
          </cell>
          <cell r="AY681">
            <v>0</v>
          </cell>
          <cell r="AZ681">
            <v>0</v>
          </cell>
          <cell r="BA681">
            <v>0</v>
          </cell>
          <cell r="BD681" t="str">
            <v/>
          </cell>
          <cell r="BE681">
            <v>1</v>
          </cell>
          <cell r="BG681" t="str">
            <v>1100</v>
          </cell>
        </row>
        <row r="682">
          <cell r="B682" t="str">
            <v>G140018106100100</v>
          </cell>
          <cell r="C682" t="str">
            <v>14.神奈川県</v>
          </cell>
          <cell r="D682" t="str">
            <v>001</v>
          </cell>
          <cell r="E682" t="str">
            <v>相模川流域</v>
          </cell>
          <cell r="F682" t="str">
            <v>81</v>
          </cell>
          <cell r="G682" t="str">
            <v>流域</v>
          </cell>
          <cell r="H682" t="str">
            <v>流域下水道</v>
          </cell>
          <cell r="I682" t="str">
            <v/>
          </cell>
          <cell r="J682" t="str">
            <v>001</v>
          </cell>
          <cell r="K682" t="str">
            <v>四之宮管理センター</v>
          </cell>
          <cell r="M682" t="str">
            <v>1</v>
          </cell>
          <cell r="N682" t="str">
            <v>1</v>
          </cell>
          <cell r="P682" t="str">
            <v>1</v>
          </cell>
          <cell r="Q682">
            <v>26816</v>
          </cell>
          <cell r="R682" t="str">
            <v>昭和</v>
          </cell>
          <cell r="S682">
            <v>48</v>
          </cell>
          <cell r="T682">
            <v>6</v>
          </cell>
          <cell r="AB682">
            <v>269000</v>
          </cell>
          <cell r="AC682" t="str">
            <v>相模川下流</v>
          </cell>
          <cell r="AD682" t="str">
            <v>Ｂ</v>
          </cell>
          <cell r="AE682" t="str">
            <v>イ</v>
          </cell>
          <cell r="AF682">
            <v>15</v>
          </cell>
          <cell r="AI682" t="str">
            <v>鹿見堂排水路</v>
          </cell>
          <cell r="AK682" t="str">
            <v>相模川</v>
          </cell>
          <cell r="AL682" t="str">
            <v>寒川取水堰</v>
          </cell>
          <cell r="AM682">
            <v>2</v>
          </cell>
          <cell r="AO682" t="str">
            <v>二宮町、大磯町、平塚市、伊勢原市　他</v>
          </cell>
          <cell r="AQ682" t="str">
            <v/>
          </cell>
          <cell r="AR682" t="str">
            <v>標準活性汚泥法</v>
          </cell>
          <cell r="AS682" t="str">
            <v>1400181001</v>
          </cell>
          <cell r="AT682" t="str">
            <v/>
          </cell>
          <cell r="AU682" t="str">
            <v>10</v>
          </cell>
          <cell r="AV682" t="str">
            <v>10</v>
          </cell>
          <cell r="AW682">
            <v>1</v>
          </cell>
          <cell r="AX682">
            <v>0</v>
          </cell>
          <cell r="AY682">
            <v>0</v>
          </cell>
          <cell r="AZ682">
            <v>0</v>
          </cell>
          <cell r="BA682">
            <v>0</v>
          </cell>
          <cell r="BD682" t="str">
            <v/>
          </cell>
          <cell r="BE682">
            <v>1</v>
          </cell>
          <cell r="BG682" t="str">
            <v>1101</v>
          </cell>
        </row>
        <row r="683">
          <cell r="B683" t="str">
            <v>G140018106100200</v>
          </cell>
          <cell r="C683" t="str">
            <v>14.神奈川県</v>
          </cell>
          <cell r="D683" t="str">
            <v>001</v>
          </cell>
          <cell r="E683" t="str">
            <v>相模川流域</v>
          </cell>
          <cell r="F683" t="str">
            <v>81</v>
          </cell>
          <cell r="G683" t="str">
            <v>流域</v>
          </cell>
          <cell r="H683" t="str">
            <v>流域下水道</v>
          </cell>
          <cell r="I683" t="str">
            <v/>
          </cell>
          <cell r="J683" t="str">
            <v>002</v>
          </cell>
          <cell r="K683" t="str">
            <v>柳島管理センター</v>
          </cell>
          <cell r="M683" t="str">
            <v>1</v>
          </cell>
          <cell r="N683" t="str">
            <v>1</v>
          </cell>
          <cell r="P683" t="str">
            <v>1</v>
          </cell>
          <cell r="Q683">
            <v>28460</v>
          </cell>
          <cell r="R683" t="str">
            <v>昭和</v>
          </cell>
          <cell r="S683">
            <v>52</v>
          </cell>
          <cell r="T683">
            <v>12</v>
          </cell>
          <cell r="AB683">
            <v>196000</v>
          </cell>
          <cell r="AC683" t="str">
            <v>相模湾（２）</v>
          </cell>
          <cell r="AD683" t="str">
            <v>Ａ</v>
          </cell>
          <cell r="AE683" t="str">
            <v>イ</v>
          </cell>
          <cell r="AF683">
            <v>15</v>
          </cell>
          <cell r="AI683" t="str">
            <v>相模湾</v>
          </cell>
          <cell r="AL683" t="str">
            <v>寒川取水堰</v>
          </cell>
          <cell r="AM683">
            <v>6</v>
          </cell>
          <cell r="AO683" t="str">
            <v>茅ヶ崎市、寒川町、藤沢市、海老名市</v>
          </cell>
          <cell r="AQ683" t="str">
            <v/>
          </cell>
          <cell r="AR683" t="str">
            <v>標準活性汚泥法</v>
          </cell>
          <cell r="AS683" t="str">
            <v>1400181002</v>
          </cell>
          <cell r="AT683" t="str">
            <v/>
          </cell>
          <cell r="AU683" t="str">
            <v>10</v>
          </cell>
          <cell r="AV683" t="str">
            <v>10</v>
          </cell>
          <cell r="AW683">
            <v>1</v>
          </cell>
          <cell r="AX683">
            <v>0</v>
          </cell>
          <cell r="AY683">
            <v>0</v>
          </cell>
          <cell r="AZ683">
            <v>0</v>
          </cell>
          <cell r="BA683">
            <v>0</v>
          </cell>
          <cell r="BD683" t="str">
            <v/>
          </cell>
          <cell r="BE683">
            <v>1</v>
          </cell>
          <cell r="BG683" t="str">
            <v>1101</v>
          </cell>
        </row>
        <row r="684">
          <cell r="B684" t="str">
            <v>G140028106100100</v>
          </cell>
          <cell r="C684" t="str">
            <v>14.神奈川県</v>
          </cell>
          <cell r="D684" t="str">
            <v>002</v>
          </cell>
          <cell r="E684" t="str">
            <v>酒匂川流域</v>
          </cell>
          <cell r="F684" t="str">
            <v>81</v>
          </cell>
          <cell r="G684" t="str">
            <v>流域</v>
          </cell>
          <cell r="H684" t="str">
            <v>流域下水道</v>
          </cell>
          <cell r="I684" t="str">
            <v/>
          </cell>
          <cell r="J684" t="str">
            <v>001</v>
          </cell>
          <cell r="K684" t="str">
            <v>酒匂管理センター</v>
          </cell>
          <cell r="M684" t="str">
            <v>1</v>
          </cell>
          <cell r="N684" t="str">
            <v>1</v>
          </cell>
          <cell r="P684" t="str">
            <v>1</v>
          </cell>
          <cell r="Q684">
            <v>30286</v>
          </cell>
          <cell r="R684" t="str">
            <v>昭和</v>
          </cell>
          <cell r="S684">
            <v>57</v>
          </cell>
          <cell r="T684">
            <v>12</v>
          </cell>
          <cell r="AB684">
            <v>98000</v>
          </cell>
          <cell r="AC684" t="str">
            <v>酒匂川下流</v>
          </cell>
          <cell r="AD684" t="str">
            <v>Ｂ</v>
          </cell>
          <cell r="AE684" t="str">
            <v>イ</v>
          </cell>
          <cell r="AF684">
            <v>15</v>
          </cell>
          <cell r="AJ684" t="str">
            <v>酒匂川</v>
          </cell>
          <cell r="AL684" t="str">
            <v>飯泉取水堰</v>
          </cell>
          <cell r="AM684">
            <v>1.8</v>
          </cell>
          <cell r="AO684" t="str">
            <v>横浜市、川崎市</v>
          </cell>
          <cell r="AQ684" t="str">
            <v/>
          </cell>
          <cell r="AR684" t="str">
            <v>標準活性汚泥法</v>
          </cell>
          <cell r="AS684" t="str">
            <v>1400281001</v>
          </cell>
          <cell r="AT684" t="str">
            <v/>
          </cell>
          <cell r="AU684" t="str">
            <v>10</v>
          </cell>
          <cell r="AV684" t="str">
            <v>10</v>
          </cell>
          <cell r="AW684">
            <v>1</v>
          </cell>
          <cell r="AX684">
            <v>0</v>
          </cell>
          <cell r="AY684">
            <v>0</v>
          </cell>
          <cell r="AZ684">
            <v>0</v>
          </cell>
          <cell r="BA684">
            <v>0</v>
          </cell>
          <cell r="BD684" t="str">
            <v/>
          </cell>
          <cell r="BE684">
            <v>1</v>
          </cell>
          <cell r="BG684" t="str">
            <v>1101</v>
          </cell>
        </row>
        <row r="685">
          <cell r="B685" t="str">
            <v>G140028106100200</v>
          </cell>
          <cell r="C685" t="str">
            <v>14.神奈川県</v>
          </cell>
          <cell r="D685" t="str">
            <v>002</v>
          </cell>
          <cell r="E685" t="str">
            <v>酒匂川流域</v>
          </cell>
          <cell r="F685" t="str">
            <v>81</v>
          </cell>
          <cell r="G685" t="str">
            <v>流域</v>
          </cell>
          <cell r="H685" t="str">
            <v>流域下水道</v>
          </cell>
          <cell r="I685" t="str">
            <v/>
          </cell>
          <cell r="J685" t="str">
            <v>002</v>
          </cell>
          <cell r="K685" t="str">
            <v>扇町管理センター</v>
          </cell>
          <cell r="M685" t="str">
            <v>1</v>
          </cell>
          <cell r="N685" t="str">
            <v>1</v>
          </cell>
          <cell r="Q685">
            <v>35612</v>
          </cell>
          <cell r="R685" t="str">
            <v>平成</v>
          </cell>
          <cell r="S685">
            <v>9</v>
          </cell>
          <cell r="T685">
            <v>7</v>
          </cell>
          <cell r="AB685">
            <v>70000</v>
          </cell>
          <cell r="AC685" t="str">
            <v>酒匂川下流</v>
          </cell>
          <cell r="AD685" t="str">
            <v>Ｂ</v>
          </cell>
          <cell r="AE685" t="str">
            <v>イ</v>
          </cell>
          <cell r="AF685">
            <v>15</v>
          </cell>
          <cell r="AJ685" t="str">
            <v>酒匂川</v>
          </cell>
          <cell r="AL685" t="str">
            <v>飯泉取水堰</v>
          </cell>
          <cell r="AM685">
            <v>0.1</v>
          </cell>
          <cell r="AO685" t="str">
            <v>横浜市、川崎市</v>
          </cell>
          <cell r="AQ685" t="str">
            <v/>
          </cell>
          <cell r="AR685" t="str">
            <v>標準活性汚泥法</v>
          </cell>
          <cell r="AS685" t="str">
            <v>1400281002</v>
          </cell>
          <cell r="AT685" t="str">
            <v/>
          </cell>
          <cell r="AU685" t="str">
            <v>10</v>
          </cell>
          <cell r="AV685" t="str">
            <v>10</v>
          </cell>
          <cell r="AW685">
            <v>0</v>
          </cell>
          <cell r="AX685">
            <v>0</v>
          </cell>
          <cell r="AY685">
            <v>0</v>
          </cell>
          <cell r="AZ685">
            <v>0</v>
          </cell>
          <cell r="BA685">
            <v>0</v>
          </cell>
          <cell r="BD685" t="str">
            <v/>
          </cell>
          <cell r="BE685">
            <v>1</v>
          </cell>
          <cell r="BG685" t="str">
            <v>1100</v>
          </cell>
        </row>
        <row r="686">
          <cell r="B686" t="str">
            <v>G141000106100100</v>
          </cell>
          <cell r="C686" t="str">
            <v>14.神奈川県</v>
          </cell>
          <cell r="D686" t="str">
            <v>100</v>
          </cell>
          <cell r="E686" t="str">
            <v>横浜市</v>
          </cell>
          <cell r="F686" t="str">
            <v>01</v>
          </cell>
          <cell r="G686" t="str">
            <v>公共 単独</v>
          </cell>
          <cell r="H686" t="str">
            <v>公共下水道</v>
          </cell>
          <cell r="I686" t="str">
            <v>単独</v>
          </cell>
          <cell r="J686" t="str">
            <v>001</v>
          </cell>
          <cell r="K686" t="str">
            <v>中部水再生センター</v>
          </cell>
          <cell r="M686" t="str">
            <v>1</v>
          </cell>
          <cell r="Q686">
            <v>22737</v>
          </cell>
          <cell r="R686" t="str">
            <v>昭和</v>
          </cell>
          <cell r="S686">
            <v>37</v>
          </cell>
          <cell r="T686">
            <v>4</v>
          </cell>
          <cell r="AB686">
            <v>68300</v>
          </cell>
          <cell r="AC686" t="str">
            <v>東京湾(6)</v>
          </cell>
          <cell r="AD686" t="str">
            <v>Ｃ</v>
          </cell>
          <cell r="AE686" t="str">
            <v>イ</v>
          </cell>
          <cell r="AF686">
            <v>15</v>
          </cell>
          <cell r="AH686">
            <v>2</v>
          </cell>
          <cell r="AI686" t="str">
            <v>東京湾</v>
          </cell>
          <cell r="AQ686" t="str">
            <v/>
          </cell>
          <cell r="AR686" t="str">
            <v>標準活性汚泥法</v>
          </cell>
          <cell r="AS686" t="str">
            <v>1410001001</v>
          </cell>
          <cell r="AT686">
            <v>1</v>
          </cell>
          <cell r="AU686" t="str">
            <v>00</v>
          </cell>
          <cell r="AV686" t="str">
            <v>00</v>
          </cell>
          <cell r="AW686">
            <v>0</v>
          </cell>
          <cell r="AX686">
            <v>0</v>
          </cell>
          <cell r="AY686">
            <v>0</v>
          </cell>
          <cell r="AZ686">
            <v>0</v>
          </cell>
          <cell r="BA686">
            <v>0</v>
          </cell>
          <cell r="BD686" t="str">
            <v/>
          </cell>
          <cell r="BE686">
            <v>1</v>
          </cell>
          <cell r="BG686" t="str">
            <v>1000</v>
          </cell>
        </row>
        <row r="687">
          <cell r="B687" t="str">
            <v>G141000106100200</v>
          </cell>
          <cell r="C687" t="str">
            <v>14.神奈川県</v>
          </cell>
          <cell r="D687" t="str">
            <v>100</v>
          </cell>
          <cell r="E687" t="str">
            <v>横浜市</v>
          </cell>
          <cell r="F687" t="str">
            <v>01</v>
          </cell>
          <cell r="G687" t="str">
            <v>公共 単独</v>
          </cell>
          <cell r="H687" t="str">
            <v>公共下水道</v>
          </cell>
          <cell r="I687" t="str">
            <v>単独</v>
          </cell>
          <cell r="J687" t="str">
            <v>002</v>
          </cell>
          <cell r="K687" t="str">
            <v>南部水再生センター</v>
          </cell>
          <cell r="M687" t="str">
            <v>1</v>
          </cell>
          <cell r="P687" t="str">
            <v>1</v>
          </cell>
          <cell r="Q687">
            <v>23924</v>
          </cell>
          <cell r="R687" t="str">
            <v>昭和</v>
          </cell>
          <cell r="S687">
            <v>40</v>
          </cell>
          <cell r="T687">
            <v>7</v>
          </cell>
          <cell r="AB687">
            <v>70620</v>
          </cell>
          <cell r="AC687" t="str">
            <v>東京湾(7)</v>
          </cell>
          <cell r="AD687" t="str">
            <v>Ｃ</v>
          </cell>
          <cell r="AE687" t="str">
            <v>イ</v>
          </cell>
          <cell r="AF687">
            <v>15</v>
          </cell>
          <cell r="AG687">
            <v>20</v>
          </cell>
          <cell r="AH687">
            <v>2</v>
          </cell>
          <cell r="AI687" t="str">
            <v>東京湾</v>
          </cell>
          <cell r="AQ687" t="str">
            <v/>
          </cell>
          <cell r="AR687" t="str">
            <v>標準活性汚泥法</v>
          </cell>
          <cell r="AS687" t="str">
            <v>1410001002</v>
          </cell>
          <cell r="AT687">
            <v>1</v>
          </cell>
          <cell r="AU687" t="str">
            <v>00</v>
          </cell>
          <cell r="AV687" t="str">
            <v>00</v>
          </cell>
          <cell r="AW687">
            <v>1</v>
          </cell>
          <cell r="AX687">
            <v>0</v>
          </cell>
          <cell r="AY687">
            <v>0</v>
          </cell>
          <cell r="AZ687">
            <v>0</v>
          </cell>
          <cell r="BA687">
            <v>0</v>
          </cell>
          <cell r="BD687" t="str">
            <v/>
          </cell>
          <cell r="BE687">
            <v>1</v>
          </cell>
          <cell r="BG687" t="str">
            <v>1001</v>
          </cell>
        </row>
        <row r="688">
          <cell r="B688" t="str">
            <v>G141000106100300</v>
          </cell>
          <cell r="C688" t="str">
            <v>14.神奈川県</v>
          </cell>
          <cell r="D688" t="str">
            <v>100</v>
          </cell>
          <cell r="E688" t="str">
            <v>横浜市</v>
          </cell>
          <cell r="F688" t="str">
            <v>01</v>
          </cell>
          <cell r="G688" t="str">
            <v>公共 単独</v>
          </cell>
          <cell r="H688" t="str">
            <v>公共下水道</v>
          </cell>
          <cell r="I688" t="str">
            <v>単独</v>
          </cell>
          <cell r="J688" t="str">
            <v>003</v>
          </cell>
          <cell r="K688" t="str">
            <v>北部第一水再生センター</v>
          </cell>
          <cell r="M688" t="str">
            <v>1</v>
          </cell>
          <cell r="Q688">
            <v>25020</v>
          </cell>
          <cell r="R688" t="str">
            <v>昭和</v>
          </cell>
          <cell r="S688">
            <v>43</v>
          </cell>
          <cell r="T688">
            <v>7</v>
          </cell>
          <cell r="AB688">
            <v>100320</v>
          </cell>
          <cell r="AC688" t="str">
            <v>鶴見川下流</v>
          </cell>
          <cell r="AD688" t="str">
            <v>Ｅ</v>
          </cell>
          <cell r="AE688" t="str">
            <v>ハ</v>
          </cell>
          <cell r="AF688">
            <v>15</v>
          </cell>
          <cell r="AG688">
            <v>20</v>
          </cell>
          <cell r="AH688">
            <v>2</v>
          </cell>
          <cell r="AK688" t="str">
            <v>鶴見川</v>
          </cell>
          <cell r="AQ688" t="str">
            <v/>
          </cell>
          <cell r="AR688" t="str">
            <v>嫌気無酸素好気法</v>
          </cell>
          <cell r="AS688" t="str">
            <v>1410001003</v>
          </cell>
          <cell r="AT688">
            <v>1</v>
          </cell>
          <cell r="AU688" t="str">
            <v>00</v>
          </cell>
          <cell r="AV688" t="str">
            <v>00</v>
          </cell>
          <cell r="AW688">
            <v>0</v>
          </cell>
          <cell r="AX688">
            <v>0</v>
          </cell>
          <cell r="AY688">
            <v>0</v>
          </cell>
          <cell r="AZ688">
            <v>0</v>
          </cell>
          <cell r="BA688">
            <v>0</v>
          </cell>
          <cell r="BD688" t="str">
            <v/>
          </cell>
          <cell r="BE688">
            <v>1</v>
          </cell>
          <cell r="BG688" t="str">
            <v>1000</v>
          </cell>
        </row>
        <row r="689">
          <cell r="B689" t="str">
            <v>G141000106100400</v>
          </cell>
          <cell r="C689" t="str">
            <v>14.神奈川県</v>
          </cell>
          <cell r="D689" t="str">
            <v>100</v>
          </cell>
          <cell r="E689" t="str">
            <v>横浜市</v>
          </cell>
          <cell r="F689" t="str">
            <v>01</v>
          </cell>
          <cell r="G689" t="str">
            <v>公共 単独</v>
          </cell>
          <cell r="H689" t="str">
            <v>公共下水道</v>
          </cell>
          <cell r="I689" t="str">
            <v>単独</v>
          </cell>
          <cell r="J689" t="str">
            <v>004</v>
          </cell>
          <cell r="K689" t="str">
            <v>栄第二水再生センター</v>
          </cell>
          <cell r="M689" t="str">
            <v>1</v>
          </cell>
          <cell r="Q689">
            <v>26573</v>
          </cell>
          <cell r="R689" t="str">
            <v>昭和</v>
          </cell>
          <cell r="S689">
            <v>47</v>
          </cell>
          <cell r="T689">
            <v>10</v>
          </cell>
          <cell r="AB689">
            <v>92000</v>
          </cell>
          <cell r="AC689" t="str">
            <v>境川（全域）</v>
          </cell>
          <cell r="AD689" t="str">
            <v>Ｄ</v>
          </cell>
          <cell r="AE689" t="str">
            <v>ハ</v>
          </cell>
          <cell r="AF689">
            <v>15</v>
          </cell>
          <cell r="AH689">
            <v>3</v>
          </cell>
          <cell r="AI689" t="str">
            <v>柏尾川</v>
          </cell>
          <cell r="AJ689" t="str">
            <v>境川</v>
          </cell>
          <cell r="AQ689" t="str">
            <v/>
          </cell>
          <cell r="AR689" t="str">
            <v>嫌気好気活性汚泥法</v>
          </cell>
          <cell r="AS689" t="str">
            <v>1410001004</v>
          </cell>
          <cell r="AT689">
            <v>1</v>
          </cell>
          <cell r="AU689" t="str">
            <v>00</v>
          </cell>
          <cell r="AV689" t="str">
            <v>00</v>
          </cell>
          <cell r="AW689">
            <v>0</v>
          </cell>
          <cell r="AX689">
            <v>0</v>
          </cell>
          <cell r="AY689">
            <v>0</v>
          </cell>
          <cell r="AZ689">
            <v>0</v>
          </cell>
          <cell r="BA689">
            <v>0</v>
          </cell>
          <cell r="BD689" t="str">
            <v/>
          </cell>
          <cell r="BE689">
            <v>1</v>
          </cell>
          <cell r="BG689" t="str">
            <v>1000</v>
          </cell>
        </row>
        <row r="690">
          <cell r="B690" t="str">
            <v>G141000106100500</v>
          </cell>
          <cell r="C690" t="str">
            <v>14.神奈川県</v>
          </cell>
          <cell r="D690" t="str">
            <v>100</v>
          </cell>
          <cell r="E690" t="str">
            <v>横浜市</v>
          </cell>
          <cell r="F690" t="str">
            <v>01</v>
          </cell>
          <cell r="G690" t="str">
            <v>公共 単独</v>
          </cell>
          <cell r="H690" t="str">
            <v>公共下水道</v>
          </cell>
          <cell r="I690" t="str">
            <v>単独</v>
          </cell>
          <cell r="J690" t="str">
            <v>005</v>
          </cell>
          <cell r="K690" t="str">
            <v>港北水再生センター</v>
          </cell>
          <cell r="M690" t="str">
            <v>1</v>
          </cell>
          <cell r="P690" t="str">
            <v>1</v>
          </cell>
          <cell r="Q690">
            <v>26634</v>
          </cell>
          <cell r="R690" t="str">
            <v>昭和</v>
          </cell>
          <cell r="S690">
            <v>47</v>
          </cell>
          <cell r="T690">
            <v>12</v>
          </cell>
          <cell r="AB690">
            <v>124960</v>
          </cell>
          <cell r="AC690" t="str">
            <v>鶴見川下流</v>
          </cell>
          <cell r="AD690" t="str">
            <v>Ｅ</v>
          </cell>
          <cell r="AE690" t="str">
            <v>ハ</v>
          </cell>
          <cell r="AF690">
            <v>15</v>
          </cell>
          <cell r="AG690">
            <v>20</v>
          </cell>
          <cell r="AH690">
            <v>2</v>
          </cell>
          <cell r="AK690" t="str">
            <v>鶴見川</v>
          </cell>
          <cell r="AQ690" t="str">
            <v/>
          </cell>
          <cell r="AR690" t="str">
            <v>標準活性汚泥法</v>
          </cell>
          <cell r="AS690" t="str">
            <v>1410001005</v>
          </cell>
          <cell r="AT690">
            <v>1</v>
          </cell>
          <cell r="AU690" t="str">
            <v>00</v>
          </cell>
          <cell r="AV690" t="str">
            <v>00</v>
          </cell>
          <cell r="AW690">
            <v>1</v>
          </cell>
          <cell r="AX690">
            <v>0</v>
          </cell>
          <cell r="AY690">
            <v>0</v>
          </cell>
          <cell r="AZ690">
            <v>0</v>
          </cell>
          <cell r="BA690">
            <v>0</v>
          </cell>
          <cell r="BD690" t="str">
            <v/>
          </cell>
          <cell r="BE690">
            <v>1</v>
          </cell>
          <cell r="BG690" t="str">
            <v>1001</v>
          </cell>
        </row>
        <row r="691">
          <cell r="B691" t="str">
            <v>G141000106100600</v>
          </cell>
          <cell r="C691" t="str">
            <v>14.神奈川県</v>
          </cell>
          <cell r="D691" t="str">
            <v>100</v>
          </cell>
          <cell r="E691" t="str">
            <v>横浜市</v>
          </cell>
          <cell r="F691" t="str">
            <v>01</v>
          </cell>
          <cell r="G691" t="str">
            <v>公共 単独</v>
          </cell>
          <cell r="H691" t="str">
            <v>公共下水道</v>
          </cell>
          <cell r="I691" t="str">
            <v>単独</v>
          </cell>
          <cell r="J691" t="str">
            <v>006</v>
          </cell>
          <cell r="K691" t="str">
            <v>都筑水再生センター</v>
          </cell>
          <cell r="M691" t="str">
            <v>1</v>
          </cell>
          <cell r="P691" t="str">
            <v>1</v>
          </cell>
          <cell r="Q691">
            <v>28246</v>
          </cell>
          <cell r="R691" t="str">
            <v>昭和</v>
          </cell>
          <cell r="S691">
            <v>52</v>
          </cell>
          <cell r="T691">
            <v>5</v>
          </cell>
          <cell r="AB691">
            <v>87000</v>
          </cell>
          <cell r="AC691" t="str">
            <v>鶴見川上流</v>
          </cell>
          <cell r="AD691" t="str">
            <v>Ｄ</v>
          </cell>
          <cell r="AE691" t="str">
            <v>ハ</v>
          </cell>
          <cell r="AF691">
            <v>15</v>
          </cell>
          <cell r="AG691">
            <v>20</v>
          </cell>
          <cell r="AH691">
            <v>2</v>
          </cell>
          <cell r="AK691" t="str">
            <v>鶴見川</v>
          </cell>
          <cell r="AQ691" t="str">
            <v/>
          </cell>
          <cell r="AR691" t="str">
            <v>標準活性汚泥法</v>
          </cell>
          <cell r="AS691" t="str">
            <v>1410001006</v>
          </cell>
          <cell r="AT691">
            <v>1</v>
          </cell>
          <cell r="AU691" t="str">
            <v>00</v>
          </cell>
          <cell r="AV691" t="str">
            <v>00</v>
          </cell>
          <cell r="AW691">
            <v>1</v>
          </cell>
          <cell r="AX691">
            <v>0</v>
          </cell>
          <cell r="AY691">
            <v>0</v>
          </cell>
          <cell r="AZ691">
            <v>0</v>
          </cell>
          <cell r="BA691">
            <v>0</v>
          </cell>
          <cell r="BD691" t="str">
            <v/>
          </cell>
          <cell r="BE691">
            <v>1</v>
          </cell>
          <cell r="BG691" t="str">
            <v>1001</v>
          </cell>
        </row>
        <row r="692">
          <cell r="B692" t="str">
            <v>G141000106100700</v>
          </cell>
          <cell r="C692" t="str">
            <v>14.神奈川県</v>
          </cell>
          <cell r="D692" t="str">
            <v>100</v>
          </cell>
          <cell r="E692" t="str">
            <v>横浜市</v>
          </cell>
          <cell r="F692" t="str">
            <v>01</v>
          </cell>
          <cell r="G692" t="str">
            <v>公共 単独</v>
          </cell>
          <cell r="H692" t="str">
            <v>公共下水道</v>
          </cell>
          <cell r="I692" t="str">
            <v>単独</v>
          </cell>
          <cell r="J692" t="str">
            <v>007</v>
          </cell>
          <cell r="K692" t="str">
            <v>神奈川水再生センター</v>
          </cell>
          <cell r="M692" t="str">
            <v>1</v>
          </cell>
          <cell r="P692" t="str">
            <v>1</v>
          </cell>
          <cell r="Q692">
            <v>28550</v>
          </cell>
          <cell r="R692" t="str">
            <v>昭和</v>
          </cell>
          <cell r="S692">
            <v>53</v>
          </cell>
          <cell r="T692">
            <v>3</v>
          </cell>
          <cell r="AB692">
            <v>103330</v>
          </cell>
          <cell r="AC692" t="str">
            <v>東京湾(6)</v>
          </cell>
          <cell r="AD692" t="str">
            <v>Ｃ</v>
          </cell>
          <cell r="AE692" t="str">
            <v>イ</v>
          </cell>
          <cell r="AF692">
            <v>15</v>
          </cell>
          <cell r="AG692">
            <v>20</v>
          </cell>
          <cell r="AH692">
            <v>2</v>
          </cell>
          <cell r="AJ692" t="str">
            <v>入江川</v>
          </cell>
          <cell r="AQ692" t="str">
            <v/>
          </cell>
          <cell r="AR692" t="str">
            <v>標準活性汚泥法</v>
          </cell>
          <cell r="AS692" t="str">
            <v>1410001007</v>
          </cell>
          <cell r="AT692">
            <v>1</v>
          </cell>
          <cell r="AU692" t="str">
            <v>00</v>
          </cell>
          <cell r="AV692" t="str">
            <v>00</v>
          </cell>
          <cell r="AW692">
            <v>1</v>
          </cell>
          <cell r="AX692">
            <v>0</v>
          </cell>
          <cell r="AY692">
            <v>0</v>
          </cell>
          <cell r="AZ692">
            <v>0</v>
          </cell>
          <cell r="BA692">
            <v>0</v>
          </cell>
          <cell r="BD692" t="str">
            <v/>
          </cell>
          <cell r="BE692">
            <v>1</v>
          </cell>
          <cell r="BG692" t="str">
            <v>1001</v>
          </cell>
        </row>
        <row r="693">
          <cell r="B693" t="str">
            <v>G141000106100800</v>
          </cell>
          <cell r="C693" t="str">
            <v>14.神奈川県</v>
          </cell>
          <cell r="D693" t="str">
            <v>100</v>
          </cell>
          <cell r="E693" t="str">
            <v>横浜市</v>
          </cell>
          <cell r="F693" t="str">
            <v>01</v>
          </cell>
          <cell r="G693" t="str">
            <v>公共 単独</v>
          </cell>
          <cell r="H693" t="str">
            <v>公共下水道</v>
          </cell>
          <cell r="I693" t="str">
            <v>単独</v>
          </cell>
          <cell r="J693" t="str">
            <v>008</v>
          </cell>
          <cell r="K693" t="str">
            <v>金沢水再生センター</v>
          </cell>
          <cell r="M693" t="str">
            <v>1</v>
          </cell>
          <cell r="P693" t="str">
            <v>1</v>
          </cell>
          <cell r="Q693">
            <v>29129</v>
          </cell>
          <cell r="R693" t="str">
            <v>昭和</v>
          </cell>
          <cell r="S693">
            <v>54</v>
          </cell>
          <cell r="T693">
            <v>10</v>
          </cell>
          <cell r="AB693">
            <v>129440</v>
          </cell>
          <cell r="AC693" t="str">
            <v>東京湾(12)</v>
          </cell>
          <cell r="AD693" t="str">
            <v>Ｂ</v>
          </cell>
          <cell r="AE693" t="str">
            <v>イ</v>
          </cell>
          <cell r="AF693">
            <v>15</v>
          </cell>
          <cell r="AG693">
            <v>20</v>
          </cell>
          <cell r="AH693">
            <v>2</v>
          </cell>
          <cell r="AI693" t="str">
            <v>富岡川</v>
          </cell>
          <cell r="AQ693" t="str">
            <v/>
          </cell>
          <cell r="AR693" t="str">
            <v>標準活性汚泥法</v>
          </cell>
          <cell r="AS693" t="str">
            <v>1410001008</v>
          </cell>
          <cell r="AT693">
            <v>1</v>
          </cell>
          <cell r="AU693" t="str">
            <v>00</v>
          </cell>
          <cell r="AV693" t="str">
            <v>00</v>
          </cell>
          <cell r="AW693">
            <v>1</v>
          </cell>
          <cell r="AX693">
            <v>0</v>
          </cell>
          <cell r="AY693">
            <v>0</v>
          </cell>
          <cell r="AZ693">
            <v>0</v>
          </cell>
          <cell r="BA693">
            <v>0</v>
          </cell>
          <cell r="BD693" t="str">
            <v/>
          </cell>
          <cell r="BE693">
            <v>1</v>
          </cell>
          <cell r="BG693" t="str">
            <v>1001</v>
          </cell>
        </row>
        <row r="694">
          <cell r="B694" t="str">
            <v>G141000106100900</v>
          </cell>
          <cell r="C694" t="str">
            <v>14.神奈川県</v>
          </cell>
          <cell r="D694" t="str">
            <v>100</v>
          </cell>
          <cell r="E694" t="str">
            <v>横浜市</v>
          </cell>
          <cell r="F694" t="str">
            <v>01</v>
          </cell>
          <cell r="G694" t="str">
            <v>公共 単独</v>
          </cell>
          <cell r="H694" t="str">
            <v>公共下水道</v>
          </cell>
          <cell r="I694" t="str">
            <v>単独</v>
          </cell>
          <cell r="J694" t="str">
            <v>009</v>
          </cell>
          <cell r="K694" t="str">
            <v>西部水再生センター</v>
          </cell>
          <cell r="M694" t="str">
            <v>1</v>
          </cell>
          <cell r="Q694">
            <v>30376</v>
          </cell>
          <cell r="R694" t="str">
            <v>昭和</v>
          </cell>
          <cell r="S694">
            <v>58</v>
          </cell>
          <cell r="T694">
            <v>3</v>
          </cell>
          <cell r="AB694">
            <v>104940</v>
          </cell>
          <cell r="AC694" t="str">
            <v>境川（全域）</v>
          </cell>
          <cell r="AD694" t="str">
            <v>Ｄ</v>
          </cell>
          <cell r="AE694" t="str">
            <v>ハ</v>
          </cell>
          <cell r="AF694">
            <v>15</v>
          </cell>
          <cell r="AH694">
            <v>3</v>
          </cell>
          <cell r="AJ694" t="str">
            <v>境川</v>
          </cell>
          <cell r="AQ694" t="str">
            <v/>
          </cell>
          <cell r="AR694" t="str">
            <v>標準活性汚泥法</v>
          </cell>
          <cell r="AS694" t="str">
            <v>1410001009</v>
          </cell>
          <cell r="AT694">
            <v>1</v>
          </cell>
          <cell r="AU694" t="str">
            <v>00</v>
          </cell>
          <cell r="AV694" t="str">
            <v>00</v>
          </cell>
          <cell r="AW694">
            <v>0</v>
          </cell>
          <cell r="AX694">
            <v>0</v>
          </cell>
          <cell r="AY694">
            <v>0</v>
          </cell>
          <cell r="AZ694">
            <v>0</v>
          </cell>
          <cell r="BA694">
            <v>0</v>
          </cell>
          <cell r="BD694" t="str">
            <v/>
          </cell>
          <cell r="BE694">
            <v>1</v>
          </cell>
          <cell r="BG694" t="str">
            <v>1000</v>
          </cell>
        </row>
        <row r="695">
          <cell r="B695" t="str">
            <v>G141000106101000</v>
          </cell>
          <cell r="C695" t="str">
            <v>14.神奈川県</v>
          </cell>
          <cell r="D695" t="str">
            <v>100</v>
          </cell>
          <cell r="E695" t="str">
            <v>横浜市</v>
          </cell>
          <cell r="F695" t="str">
            <v>01</v>
          </cell>
          <cell r="G695" t="str">
            <v>公共 単独</v>
          </cell>
          <cell r="H695" t="str">
            <v>公共下水道</v>
          </cell>
          <cell r="I695" t="str">
            <v>単独</v>
          </cell>
          <cell r="J695" t="str">
            <v>010</v>
          </cell>
          <cell r="K695" t="str">
            <v>北部第二水再生センター</v>
          </cell>
          <cell r="M695" t="str">
            <v>1</v>
          </cell>
          <cell r="P695" t="str">
            <v>1</v>
          </cell>
          <cell r="Q695">
            <v>30895</v>
          </cell>
          <cell r="R695" t="str">
            <v>昭和</v>
          </cell>
          <cell r="S695">
            <v>59</v>
          </cell>
          <cell r="T695">
            <v>8</v>
          </cell>
          <cell r="AB695">
            <v>186400</v>
          </cell>
          <cell r="AC695" t="str">
            <v>東京湾(6)</v>
          </cell>
          <cell r="AD695" t="str">
            <v>Ｃ</v>
          </cell>
          <cell r="AE695" t="str">
            <v>イ</v>
          </cell>
          <cell r="AF695">
            <v>15</v>
          </cell>
          <cell r="AG695">
            <v>20</v>
          </cell>
          <cell r="AH695">
            <v>2</v>
          </cell>
          <cell r="AI695" t="str">
            <v>東京湾</v>
          </cell>
          <cell r="AQ695" t="str">
            <v/>
          </cell>
          <cell r="AR695" t="str">
            <v>標準活性汚泥法</v>
          </cell>
          <cell r="AS695" t="str">
            <v>1410001010</v>
          </cell>
          <cell r="AT695">
            <v>1</v>
          </cell>
          <cell r="AU695" t="str">
            <v>00</v>
          </cell>
          <cell r="AV695" t="str">
            <v>00</v>
          </cell>
          <cell r="AW695">
            <v>1</v>
          </cell>
          <cell r="AX695">
            <v>0</v>
          </cell>
          <cell r="AY695">
            <v>0</v>
          </cell>
          <cell r="AZ695">
            <v>0</v>
          </cell>
          <cell r="BA695">
            <v>0</v>
          </cell>
          <cell r="BD695" t="str">
            <v/>
          </cell>
          <cell r="BE695">
            <v>1</v>
          </cell>
          <cell r="BG695" t="str">
            <v>1001</v>
          </cell>
        </row>
        <row r="696">
          <cell r="B696" t="str">
            <v>G141000106101100</v>
          </cell>
          <cell r="C696" t="str">
            <v>14.神奈川県</v>
          </cell>
          <cell r="D696" t="str">
            <v>100</v>
          </cell>
          <cell r="E696" t="str">
            <v>横浜市</v>
          </cell>
          <cell r="F696" t="str">
            <v>01</v>
          </cell>
          <cell r="G696" t="str">
            <v>公共 単独</v>
          </cell>
          <cell r="H696" t="str">
            <v>公共下水道</v>
          </cell>
          <cell r="I696" t="str">
            <v>単独</v>
          </cell>
          <cell r="J696" t="str">
            <v>011</v>
          </cell>
          <cell r="K696" t="str">
            <v>栄第一水再生センター</v>
          </cell>
          <cell r="M696" t="str">
            <v>1</v>
          </cell>
          <cell r="Q696">
            <v>31017</v>
          </cell>
          <cell r="R696" t="str">
            <v>昭和</v>
          </cell>
          <cell r="S696">
            <v>59</v>
          </cell>
          <cell r="T696">
            <v>12</v>
          </cell>
          <cell r="AB696">
            <v>31260</v>
          </cell>
          <cell r="AC696" t="str">
            <v>境川（全域）</v>
          </cell>
          <cell r="AD696" t="str">
            <v>Ｄ</v>
          </cell>
          <cell r="AE696" t="str">
            <v>ハ</v>
          </cell>
          <cell r="AF696">
            <v>15</v>
          </cell>
          <cell r="AH696">
            <v>3</v>
          </cell>
          <cell r="AJ696" t="str">
            <v>いたち川</v>
          </cell>
          <cell r="AK696" t="str">
            <v>境川</v>
          </cell>
          <cell r="AQ696" t="str">
            <v/>
          </cell>
          <cell r="AR696" t="str">
            <v>標準活性汚泥法</v>
          </cell>
          <cell r="AS696" t="str">
            <v>1410001011</v>
          </cell>
          <cell r="AT696">
            <v>1</v>
          </cell>
          <cell r="AU696" t="str">
            <v>00</v>
          </cell>
          <cell r="AV696" t="str">
            <v>00</v>
          </cell>
          <cell r="AW696">
            <v>0</v>
          </cell>
          <cell r="AX696">
            <v>0</v>
          </cell>
          <cell r="AY696">
            <v>0</v>
          </cell>
          <cell r="AZ696">
            <v>0</v>
          </cell>
          <cell r="BA696">
            <v>0</v>
          </cell>
          <cell r="BD696" t="str">
            <v/>
          </cell>
          <cell r="BE696">
            <v>1</v>
          </cell>
          <cell r="BG696" t="str">
            <v>1000</v>
          </cell>
        </row>
        <row r="697">
          <cell r="B697" t="str">
            <v>G141000106101200</v>
          </cell>
          <cell r="C697" t="str">
            <v>14.神奈川県</v>
          </cell>
          <cell r="D697" t="str">
            <v>100</v>
          </cell>
          <cell r="E697" t="str">
            <v>横浜市</v>
          </cell>
          <cell r="F697" t="str">
            <v>01</v>
          </cell>
          <cell r="G697" t="str">
            <v>公共 単独</v>
          </cell>
          <cell r="H697" t="str">
            <v>公共下水道</v>
          </cell>
          <cell r="I697" t="str">
            <v>単独</v>
          </cell>
          <cell r="J697" t="str">
            <v>012</v>
          </cell>
          <cell r="K697" t="str">
            <v>北部汚泥資源化センター</v>
          </cell>
          <cell r="N697" t="str">
            <v>1</v>
          </cell>
          <cell r="O697" t="str">
            <v>1</v>
          </cell>
          <cell r="Q697">
            <v>32021</v>
          </cell>
          <cell r="R697" t="str">
            <v>昭和</v>
          </cell>
          <cell r="S697">
            <v>62</v>
          </cell>
          <cell r="T697">
            <v>9</v>
          </cell>
          <cell r="AB697">
            <v>185000</v>
          </cell>
          <cell r="AC697" t="str">
            <v>該当しない</v>
          </cell>
          <cell r="AI697" t="str">
            <v>該当しない</v>
          </cell>
          <cell r="AQ697" t="str">
            <v/>
          </cell>
          <cell r="AR697" t="str">
            <v/>
          </cell>
          <cell r="AS697" t="str">
            <v>1410001012</v>
          </cell>
          <cell r="AT697" t="str">
            <v/>
          </cell>
          <cell r="AU697" t="str">
            <v>11</v>
          </cell>
          <cell r="AV697" t="str">
            <v>11</v>
          </cell>
          <cell r="AW697">
            <v>0</v>
          </cell>
          <cell r="AX697">
            <v>0</v>
          </cell>
          <cell r="AY697">
            <v>0</v>
          </cell>
          <cell r="AZ697">
            <v>0</v>
          </cell>
          <cell r="BA697">
            <v>0</v>
          </cell>
          <cell r="BD697" t="str">
            <v/>
          </cell>
          <cell r="BE697">
            <v>1</v>
          </cell>
          <cell r="BG697" t="str">
            <v>0110</v>
          </cell>
        </row>
        <row r="698">
          <cell r="B698" t="str">
            <v>G141000106101300</v>
          </cell>
          <cell r="C698" t="str">
            <v>14.神奈川県</v>
          </cell>
          <cell r="D698" t="str">
            <v>100</v>
          </cell>
          <cell r="E698" t="str">
            <v>横浜市</v>
          </cell>
          <cell r="F698" t="str">
            <v>01</v>
          </cell>
          <cell r="G698" t="str">
            <v>公共 単独</v>
          </cell>
          <cell r="H698" t="str">
            <v>公共下水道</v>
          </cell>
          <cell r="I698" t="str">
            <v>単独</v>
          </cell>
          <cell r="J698" t="str">
            <v>013</v>
          </cell>
          <cell r="K698" t="str">
            <v>南部汚泥資源化センター</v>
          </cell>
          <cell r="N698" t="str">
            <v>1</v>
          </cell>
          <cell r="O698" t="str">
            <v>1</v>
          </cell>
          <cell r="Q698">
            <v>32813</v>
          </cell>
          <cell r="R698" t="str">
            <v>平成</v>
          </cell>
          <cell r="S698">
            <v>1</v>
          </cell>
          <cell r="T698">
            <v>11</v>
          </cell>
          <cell r="AB698">
            <v>123900</v>
          </cell>
          <cell r="AC698" t="str">
            <v>該当しない</v>
          </cell>
          <cell r="AI698" t="str">
            <v>該当しない</v>
          </cell>
          <cell r="AQ698" t="str">
            <v/>
          </cell>
          <cell r="AR698" t="str">
            <v/>
          </cell>
          <cell r="AS698" t="str">
            <v>1410001013</v>
          </cell>
          <cell r="AT698" t="str">
            <v/>
          </cell>
          <cell r="AU698" t="str">
            <v>11</v>
          </cell>
          <cell r="AV698" t="str">
            <v>11</v>
          </cell>
          <cell r="AW698">
            <v>0</v>
          </cell>
          <cell r="AX698">
            <v>0</v>
          </cell>
          <cell r="AY698">
            <v>0</v>
          </cell>
          <cell r="AZ698">
            <v>0</v>
          </cell>
          <cell r="BA698">
            <v>0</v>
          </cell>
          <cell r="BD698" t="str">
            <v/>
          </cell>
          <cell r="BE698">
            <v>1</v>
          </cell>
          <cell r="BG698" t="str">
            <v>0110</v>
          </cell>
        </row>
        <row r="699">
          <cell r="B699" t="str">
            <v>G141300106100100</v>
          </cell>
          <cell r="C699" t="str">
            <v>14.神奈川県</v>
          </cell>
          <cell r="D699" t="str">
            <v>130</v>
          </cell>
          <cell r="E699" t="str">
            <v>川崎市</v>
          </cell>
          <cell r="F699" t="str">
            <v>01</v>
          </cell>
          <cell r="G699" t="str">
            <v>公共 単独</v>
          </cell>
          <cell r="H699" t="str">
            <v>公共下水道</v>
          </cell>
          <cell r="I699" t="str">
            <v>単独</v>
          </cell>
          <cell r="J699" t="str">
            <v>001</v>
          </cell>
          <cell r="K699" t="str">
            <v>入江崎水処理センター</v>
          </cell>
          <cell r="M699" t="str">
            <v>1</v>
          </cell>
          <cell r="P699" t="str">
            <v>1</v>
          </cell>
          <cell r="Q699">
            <v>22525</v>
          </cell>
          <cell r="R699" t="str">
            <v>昭和</v>
          </cell>
          <cell r="S699">
            <v>36</v>
          </cell>
          <cell r="T699">
            <v>9</v>
          </cell>
          <cell r="AB699">
            <v>194000</v>
          </cell>
          <cell r="AC699" t="str">
            <v>東京湾</v>
          </cell>
          <cell r="AD699" t="str">
            <v>Ｃ</v>
          </cell>
          <cell r="AE699" t="str">
            <v>イ</v>
          </cell>
          <cell r="AF699">
            <v>15</v>
          </cell>
          <cell r="AI699" t="str">
            <v>東京湾</v>
          </cell>
          <cell r="AQ699" t="str">
            <v/>
          </cell>
          <cell r="AR699" t="str">
            <v>標準活性汚泥法</v>
          </cell>
          <cell r="AS699" t="str">
            <v>1413001001</v>
          </cell>
          <cell r="AT699" t="str">
            <v/>
          </cell>
          <cell r="AU699" t="str">
            <v>00</v>
          </cell>
          <cell r="AV699" t="str">
            <v>00</v>
          </cell>
          <cell r="AW699">
            <v>1</v>
          </cell>
          <cell r="AX699">
            <v>0</v>
          </cell>
          <cell r="AY699">
            <v>0</v>
          </cell>
          <cell r="AZ699">
            <v>0</v>
          </cell>
          <cell r="BA699">
            <v>0</v>
          </cell>
          <cell r="BD699" t="str">
            <v/>
          </cell>
          <cell r="BE699">
            <v>1</v>
          </cell>
          <cell r="BG699" t="str">
            <v>1001</v>
          </cell>
        </row>
        <row r="700">
          <cell r="B700" t="str">
            <v>G141300106100200</v>
          </cell>
          <cell r="C700" t="str">
            <v>14.神奈川県</v>
          </cell>
          <cell r="D700" t="str">
            <v>130</v>
          </cell>
          <cell r="E700" t="str">
            <v>川崎市</v>
          </cell>
          <cell r="F700" t="str">
            <v>01</v>
          </cell>
          <cell r="G700" t="str">
            <v>公共 単独</v>
          </cell>
          <cell r="H700" t="str">
            <v>公共下水道</v>
          </cell>
          <cell r="I700" t="str">
            <v>単独</v>
          </cell>
          <cell r="J700" t="str">
            <v>002</v>
          </cell>
          <cell r="K700" t="str">
            <v>加瀬水処理センター</v>
          </cell>
          <cell r="M700" t="str">
            <v>1</v>
          </cell>
          <cell r="P700" t="str">
            <v>1</v>
          </cell>
          <cell r="Q700">
            <v>26969</v>
          </cell>
          <cell r="R700" t="str">
            <v>昭和</v>
          </cell>
          <cell r="S700">
            <v>48</v>
          </cell>
          <cell r="T700">
            <v>11</v>
          </cell>
          <cell r="AB700">
            <v>54960</v>
          </cell>
          <cell r="AF700">
            <v>15</v>
          </cell>
          <cell r="AI700" t="str">
            <v>矢上川</v>
          </cell>
          <cell r="AK700" t="str">
            <v>鶴見川</v>
          </cell>
          <cell r="AQ700" t="str">
            <v/>
          </cell>
          <cell r="AR700" t="str">
            <v>標準活性汚泥法</v>
          </cell>
          <cell r="AS700" t="str">
            <v>1413001002</v>
          </cell>
          <cell r="AT700" t="str">
            <v/>
          </cell>
          <cell r="AU700" t="str">
            <v>00</v>
          </cell>
          <cell r="AV700" t="str">
            <v>00</v>
          </cell>
          <cell r="AW700">
            <v>1</v>
          </cell>
          <cell r="AX700">
            <v>0</v>
          </cell>
          <cell r="AY700">
            <v>0</v>
          </cell>
          <cell r="AZ700">
            <v>0</v>
          </cell>
          <cell r="BA700">
            <v>0</v>
          </cell>
          <cell r="BD700" t="str">
            <v/>
          </cell>
          <cell r="BE700">
            <v>1</v>
          </cell>
          <cell r="BG700" t="str">
            <v>1001</v>
          </cell>
        </row>
        <row r="701">
          <cell r="B701" t="str">
            <v>G141300106100300</v>
          </cell>
          <cell r="C701" t="str">
            <v>14.神奈川県</v>
          </cell>
          <cell r="D701" t="str">
            <v>130</v>
          </cell>
          <cell r="E701" t="str">
            <v>川崎市</v>
          </cell>
          <cell r="F701" t="str">
            <v>01</v>
          </cell>
          <cell r="G701" t="str">
            <v>公共 単独</v>
          </cell>
          <cell r="H701" t="str">
            <v>公共下水道</v>
          </cell>
          <cell r="I701" t="str">
            <v>単独</v>
          </cell>
          <cell r="J701" t="str">
            <v>003</v>
          </cell>
          <cell r="K701" t="str">
            <v>等々力水処理センター</v>
          </cell>
          <cell r="M701" t="str">
            <v>1</v>
          </cell>
          <cell r="P701" t="str">
            <v>1</v>
          </cell>
          <cell r="Q701">
            <v>30256</v>
          </cell>
          <cell r="R701" t="str">
            <v>昭和</v>
          </cell>
          <cell r="S701">
            <v>57</v>
          </cell>
          <cell r="T701">
            <v>11</v>
          </cell>
          <cell r="AB701">
            <v>101250</v>
          </cell>
          <cell r="AC701" t="str">
            <v>多摩川下流</v>
          </cell>
          <cell r="AD701" t="str">
            <v>Ｂ</v>
          </cell>
          <cell r="AE701" t="str">
            <v>イ</v>
          </cell>
          <cell r="AF701">
            <v>15</v>
          </cell>
          <cell r="AH701">
            <v>2.2000000000000002</v>
          </cell>
          <cell r="AI701" t="str">
            <v>矢上川</v>
          </cell>
          <cell r="AK701" t="str">
            <v>多摩川、鶴見川</v>
          </cell>
          <cell r="AQ701" t="str">
            <v/>
          </cell>
          <cell r="AR701" t="str">
            <v>酸素活性汚泥法</v>
          </cell>
          <cell r="AS701" t="str">
            <v>1413001003</v>
          </cell>
          <cell r="AT701" t="str">
            <v/>
          </cell>
          <cell r="AU701" t="str">
            <v>00</v>
          </cell>
          <cell r="AV701" t="str">
            <v>00</v>
          </cell>
          <cell r="AW701">
            <v>1</v>
          </cell>
          <cell r="AX701">
            <v>0</v>
          </cell>
          <cell r="AY701">
            <v>0</v>
          </cell>
          <cell r="AZ701">
            <v>0</v>
          </cell>
          <cell r="BA701">
            <v>0</v>
          </cell>
          <cell r="BD701" t="str">
            <v/>
          </cell>
          <cell r="BE701">
            <v>1</v>
          </cell>
          <cell r="BG701" t="str">
            <v>1001</v>
          </cell>
        </row>
        <row r="702">
          <cell r="B702" t="str">
            <v>G141300106100400</v>
          </cell>
          <cell r="C702" t="str">
            <v>14.神奈川県</v>
          </cell>
          <cell r="D702" t="str">
            <v>130</v>
          </cell>
          <cell r="E702" t="str">
            <v>川崎市</v>
          </cell>
          <cell r="F702" t="str">
            <v>01</v>
          </cell>
          <cell r="G702" t="str">
            <v>公共 単独</v>
          </cell>
          <cell r="H702" t="str">
            <v>公共下水道</v>
          </cell>
          <cell r="I702" t="str">
            <v>単独</v>
          </cell>
          <cell r="J702" t="str">
            <v>004</v>
          </cell>
          <cell r="K702" t="str">
            <v>麻生水処理センター</v>
          </cell>
          <cell r="M702" t="str">
            <v>1</v>
          </cell>
          <cell r="Q702">
            <v>32568</v>
          </cell>
          <cell r="R702" t="str">
            <v>平成</v>
          </cell>
          <cell r="S702">
            <v>1</v>
          </cell>
          <cell r="T702">
            <v>3</v>
          </cell>
          <cell r="AB702">
            <v>68230</v>
          </cell>
          <cell r="AF702">
            <v>15</v>
          </cell>
          <cell r="AI702" t="str">
            <v>麻生川</v>
          </cell>
          <cell r="AK702" t="str">
            <v>鶴見川</v>
          </cell>
          <cell r="AQ702" t="str">
            <v/>
          </cell>
          <cell r="AR702" t="str">
            <v>標準活性汚泥法</v>
          </cell>
          <cell r="AS702" t="str">
            <v>1413001004</v>
          </cell>
          <cell r="AT702" t="str">
            <v/>
          </cell>
          <cell r="AU702" t="str">
            <v>00</v>
          </cell>
          <cell r="AV702" t="str">
            <v>00</v>
          </cell>
          <cell r="AW702">
            <v>0</v>
          </cell>
          <cell r="AX702">
            <v>0</v>
          </cell>
          <cell r="AY702">
            <v>0</v>
          </cell>
          <cell r="AZ702">
            <v>0</v>
          </cell>
          <cell r="BA702">
            <v>0</v>
          </cell>
          <cell r="BD702" t="str">
            <v/>
          </cell>
          <cell r="BE702">
            <v>1</v>
          </cell>
          <cell r="BG702" t="str">
            <v>1000</v>
          </cell>
        </row>
        <row r="703">
          <cell r="B703" t="str">
            <v>G141300106100500</v>
          </cell>
          <cell r="C703" t="str">
            <v>14.神奈川県</v>
          </cell>
          <cell r="D703" t="str">
            <v>130</v>
          </cell>
          <cell r="E703" t="str">
            <v>川崎市</v>
          </cell>
          <cell r="F703" t="str">
            <v>01</v>
          </cell>
          <cell r="G703" t="str">
            <v>公共 単独</v>
          </cell>
          <cell r="H703" t="str">
            <v>公共下水道</v>
          </cell>
          <cell r="I703" t="str">
            <v>単独</v>
          </cell>
          <cell r="J703" t="str">
            <v>005</v>
          </cell>
          <cell r="K703" t="str">
            <v>入江崎総合スラッジセンター</v>
          </cell>
          <cell r="N703" t="str">
            <v>1</v>
          </cell>
          <cell r="Q703">
            <v>35004</v>
          </cell>
          <cell r="R703" t="str">
            <v>平成</v>
          </cell>
          <cell r="S703">
            <v>7</v>
          </cell>
          <cell r="T703">
            <v>11</v>
          </cell>
          <cell r="AB703">
            <v>34599</v>
          </cell>
          <cell r="AC703" t="str">
            <v>該当しない</v>
          </cell>
          <cell r="AI703" t="str">
            <v>該当しない</v>
          </cell>
          <cell r="AQ703" t="str">
            <v/>
          </cell>
          <cell r="AR703" t="str">
            <v/>
          </cell>
          <cell r="AS703" t="str">
            <v>1413001005</v>
          </cell>
          <cell r="AT703" t="str">
            <v/>
          </cell>
          <cell r="AU703" t="str">
            <v>10</v>
          </cell>
          <cell r="AV703" t="str">
            <v>10</v>
          </cell>
          <cell r="AW703">
            <v>0</v>
          </cell>
          <cell r="AX703">
            <v>0</v>
          </cell>
          <cell r="AY703">
            <v>0</v>
          </cell>
          <cell r="AZ703">
            <v>0</v>
          </cell>
          <cell r="BA703">
            <v>0</v>
          </cell>
          <cell r="BD703" t="str">
            <v/>
          </cell>
          <cell r="BE703">
            <v>1</v>
          </cell>
          <cell r="BG703" t="str">
            <v>0100</v>
          </cell>
        </row>
        <row r="704">
          <cell r="B704" t="str">
            <v>G142010106100100</v>
          </cell>
          <cell r="C704" t="str">
            <v>14.神奈川県</v>
          </cell>
          <cell r="D704" t="str">
            <v>201</v>
          </cell>
          <cell r="E704" t="str">
            <v>横須賀市</v>
          </cell>
          <cell r="F704" t="str">
            <v>01</v>
          </cell>
          <cell r="G704" t="str">
            <v>公共 単独</v>
          </cell>
          <cell r="H704" t="str">
            <v>公共下水道</v>
          </cell>
          <cell r="I704" t="str">
            <v>単独</v>
          </cell>
          <cell r="J704" t="str">
            <v>001</v>
          </cell>
          <cell r="K704" t="str">
            <v>上町浄化センター</v>
          </cell>
          <cell r="M704" t="str">
            <v>1</v>
          </cell>
          <cell r="Q704">
            <v>24259</v>
          </cell>
          <cell r="R704" t="str">
            <v>昭和</v>
          </cell>
          <cell r="S704">
            <v>41</v>
          </cell>
          <cell r="T704">
            <v>6</v>
          </cell>
          <cell r="AB704">
            <v>24700</v>
          </cell>
          <cell r="AC704" t="str">
            <v>平作川</v>
          </cell>
          <cell r="AD704" t="str">
            <v>Ｂ</v>
          </cell>
          <cell r="AE704" t="str">
            <v>ロ</v>
          </cell>
          <cell r="AF704">
            <v>15</v>
          </cell>
          <cell r="AJ704" t="str">
            <v>平作川</v>
          </cell>
          <cell r="AQ704" t="str">
            <v/>
          </cell>
          <cell r="AR704" t="str">
            <v>標準活性汚泥法</v>
          </cell>
          <cell r="AS704" t="str">
            <v>1420101001</v>
          </cell>
          <cell r="AT704" t="str">
            <v/>
          </cell>
          <cell r="AU704" t="str">
            <v>00</v>
          </cell>
          <cell r="AV704" t="str">
            <v>00</v>
          </cell>
          <cell r="AW704">
            <v>0</v>
          </cell>
          <cell r="AX704">
            <v>0</v>
          </cell>
          <cell r="AY704">
            <v>0</v>
          </cell>
          <cell r="AZ704">
            <v>0</v>
          </cell>
          <cell r="BA704">
            <v>0</v>
          </cell>
          <cell r="BD704" t="str">
            <v/>
          </cell>
          <cell r="BE704">
            <v>1</v>
          </cell>
          <cell r="BG704" t="str">
            <v>1000</v>
          </cell>
        </row>
        <row r="705">
          <cell r="B705" t="str">
            <v>G142010106100200</v>
          </cell>
          <cell r="C705" t="str">
            <v>14.神奈川県</v>
          </cell>
          <cell r="D705" t="str">
            <v>201</v>
          </cell>
          <cell r="E705" t="str">
            <v>横須賀市</v>
          </cell>
          <cell r="F705" t="str">
            <v>01</v>
          </cell>
          <cell r="G705" t="str">
            <v>公共 単独</v>
          </cell>
          <cell r="H705" t="str">
            <v>公共下水道</v>
          </cell>
          <cell r="I705" t="str">
            <v>単独</v>
          </cell>
          <cell r="J705" t="str">
            <v>002</v>
          </cell>
          <cell r="K705" t="str">
            <v>下町浄化センター</v>
          </cell>
          <cell r="M705" t="str">
            <v>1</v>
          </cell>
          <cell r="N705" t="str">
            <v>1</v>
          </cell>
          <cell r="P705" t="str">
            <v>1</v>
          </cell>
          <cell r="Q705">
            <v>25294</v>
          </cell>
          <cell r="R705" t="str">
            <v>昭和</v>
          </cell>
          <cell r="S705">
            <v>44</v>
          </cell>
          <cell r="T705">
            <v>4</v>
          </cell>
          <cell r="AB705">
            <v>92700</v>
          </cell>
          <cell r="AC705" t="str">
            <v>東京湾</v>
          </cell>
          <cell r="AD705" t="str">
            <v>Ｂ</v>
          </cell>
          <cell r="AE705" t="str">
            <v>ロ</v>
          </cell>
          <cell r="AF705">
            <v>15</v>
          </cell>
          <cell r="AI705" t="str">
            <v>東京湾</v>
          </cell>
          <cell r="AQ705" t="str">
            <v/>
          </cell>
          <cell r="AR705" t="str">
            <v>標準活性汚泥法</v>
          </cell>
          <cell r="AS705" t="str">
            <v>1420101002</v>
          </cell>
          <cell r="AT705" t="str">
            <v/>
          </cell>
          <cell r="AU705" t="str">
            <v>10</v>
          </cell>
          <cell r="AV705" t="str">
            <v>10</v>
          </cell>
          <cell r="AW705">
            <v>1</v>
          </cell>
          <cell r="AX705">
            <v>0</v>
          </cell>
          <cell r="AY705">
            <v>0</v>
          </cell>
          <cell r="AZ705">
            <v>0</v>
          </cell>
          <cell r="BA705">
            <v>0</v>
          </cell>
          <cell r="BD705" t="str">
            <v/>
          </cell>
          <cell r="BE705">
            <v>1</v>
          </cell>
          <cell r="BG705" t="str">
            <v>1101</v>
          </cell>
        </row>
        <row r="706">
          <cell r="B706" t="str">
            <v>G142010106100300</v>
          </cell>
          <cell r="C706" t="str">
            <v>14.神奈川県</v>
          </cell>
          <cell r="D706" t="str">
            <v>201</v>
          </cell>
          <cell r="E706" t="str">
            <v>横須賀市</v>
          </cell>
          <cell r="F706" t="str">
            <v>01</v>
          </cell>
          <cell r="G706" t="str">
            <v>公共 単独</v>
          </cell>
          <cell r="H706" t="str">
            <v>公共下水道</v>
          </cell>
          <cell r="I706" t="str">
            <v>単独</v>
          </cell>
          <cell r="J706" t="str">
            <v>003</v>
          </cell>
          <cell r="K706" t="str">
            <v>追浜浄化センター</v>
          </cell>
          <cell r="M706" t="str">
            <v>1</v>
          </cell>
          <cell r="N706" t="str">
            <v>1</v>
          </cell>
          <cell r="P706" t="str">
            <v>1</v>
          </cell>
          <cell r="Q706">
            <v>30803</v>
          </cell>
          <cell r="R706" t="str">
            <v>昭和</v>
          </cell>
          <cell r="S706">
            <v>59</v>
          </cell>
          <cell r="T706">
            <v>5</v>
          </cell>
          <cell r="AB706">
            <v>38000</v>
          </cell>
          <cell r="AC706" t="str">
            <v>東京湾</v>
          </cell>
          <cell r="AD706" t="str">
            <v>Ｃ</v>
          </cell>
          <cell r="AE706" t="str">
            <v>イ</v>
          </cell>
          <cell r="AF706">
            <v>15</v>
          </cell>
          <cell r="AI706" t="str">
            <v>東京湾</v>
          </cell>
          <cell r="AQ706" t="str">
            <v/>
          </cell>
          <cell r="AR706" t="str">
            <v>標準活性汚泥法</v>
          </cell>
          <cell r="AS706" t="str">
            <v>1420101003</v>
          </cell>
          <cell r="AT706" t="str">
            <v/>
          </cell>
          <cell r="AU706" t="str">
            <v>10</v>
          </cell>
          <cell r="AV706" t="str">
            <v>10</v>
          </cell>
          <cell r="AW706">
            <v>1</v>
          </cell>
          <cell r="AX706">
            <v>0</v>
          </cell>
          <cell r="AY706">
            <v>0</v>
          </cell>
          <cell r="AZ706">
            <v>0</v>
          </cell>
          <cell r="BA706">
            <v>0</v>
          </cell>
          <cell r="BD706" t="str">
            <v/>
          </cell>
          <cell r="BE706">
            <v>1</v>
          </cell>
          <cell r="BG706" t="str">
            <v>1101</v>
          </cell>
        </row>
        <row r="707">
          <cell r="B707" t="str">
            <v>G142010106100400</v>
          </cell>
          <cell r="C707" t="str">
            <v>14.神奈川県</v>
          </cell>
          <cell r="D707" t="str">
            <v>201</v>
          </cell>
          <cell r="E707" t="str">
            <v>横須賀市</v>
          </cell>
          <cell r="F707" t="str">
            <v>01</v>
          </cell>
          <cell r="G707" t="str">
            <v>公共 単独</v>
          </cell>
          <cell r="H707" t="str">
            <v>公共下水道</v>
          </cell>
          <cell r="I707" t="str">
            <v>単独</v>
          </cell>
          <cell r="J707" t="str">
            <v>004</v>
          </cell>
          <cell r="K707" t="str">
            <v>西浄化センター</v>
          </cell>
          <cell r="M707" t="str">
            <v>1</v>
          </cell>
          <cell r="Q707">
            <v>35855</v>
          </cell>
          <cell r="R707" t="str">
            <v>平成</v>
          </cell>
          <cell r="S707">
            <v>10</v>
          </cell>
          <cell r="T707">
            <v>3</v>
          </cell>
          <cell r="AB707">
            <v>60000</v>
          </cell>
          <cell r="AC707" t="str">
            <v>松越川</v>
          </cell>
          <cell r="AD707" t="str">
            <v>Ｅ</v>
          </cell>
          <cell r="AE707" t="str">
            <v>ハ</v>
          </cell>
          <cell r="AF707">
            <v>10</v>
          </cell>
          <cell r="AJ707" t="str">
            <v>松越川</v>
          </cell>
          <cell r="AQ707" t="str">
            <v/>
          </cell>
          <cell r="AR707" t="str">
            <v>標準活性汚泥法</v>
          </cell>
          <cell r="AS707" t="str">
            <v>1420101004</v>
          </cell>
          <cell r="AT707" t="str">
            <v/>
          </cell>
          <cell r="AU707" t="str">
            <v>00</v>
          </cell>
          <cell r="AV707" t="str">
            <v>00</v>
          </cell>
          <cell r="AW707">
            <v>0</v>
          </cell>
          <cell r="AX707">
            <v>0</v>
          </cell>
          <cell r="AY707">
            <v>0</v>
          </cell>
          <cell r="AZ707">
            <v>0</v>
          </cell>
          <cell r="BA707">
            <v>0</v>
          </cell>
          <cell r="BD707" t="str">
            <v/>
          </cell>
          <cell r="BE707">
            <v>1</v>
          </cell>
          <cell r="BG707" t="str">
            <v>1000</v>
          </cell>
        </row>
        <row r="708">
          <cell r="B708" t="str">
            <v>G142040106100100</v>
          </cell>
          <cell r="C708" t="str">
            <v>14.神奈川県</v>
          </cell>
          <cell r="D708" t="str">
            <v>204</v>
          </cell>
          <cell r="E708" t="str">
            <v>鎌倉市</v>
          </cell>
          <cell r="F708" t="str">
            <v>01</v>
          </cell>
          <cell r="G708" t="str">
            <v>公共 単独</v>
          </cell>
          <cell r="H708" t="str">
            <v>公共下水道</v>
          </cell>
          <cell r="I708" t="str">
            <v>単独</v>
          </cell>
          <cell r="J708" t="str">
            <v>001</v>
          </cell>
          <cell r="K708" t="str">
            <v>七里ガ浜浄化センター</v>
          </cell>
          <cell r="M708" t="str">
            <v>1</v>
          </cell>
          <cell r="N708" t="str">
            <v>1</v>
          </cell>
          <cell r="Q708">
            <v>26359</v>
          </cell>
          <cell r="R708" t="str">
            <v>昭和</v>
          </cell>
          <cell r="S708">
            <v>47</v>
          </cell>
          <cell r="T708">
            <v>3</v>
          </cell>
          <cell r="AB708">
            <v>18000</v>
          </cell>
          <cell r="AC708" t="str">
            <v>相模湾</v>
          </cell>
          <cell r="AD708" t="str">
            <v>Ａ</v>
          </cell>
          <cell r="AE708" t="str">
            <v>イ</v>
          </cell>
          <cell r="AF708">
            <v>15</v>
          </cell>
          <cell r="AI708" t="str">
            <v>七里ガ浜雨水幹線</v>
          </cell>
          <cell r="AQ708" t="str">
            <v/>
          </cell>
          <cell r="AR708" t="str">
            <v>標準活性汚泥法</v>
          </cell>
          <cell r="AS708" t="str">
            <v>1420401001</v>
          </cell>
          <cell r="AT708" t="str">
            <v/>
          </cell>
          <cell r="AU708" t="str">
            <v>10</v>
          </cell>
          <cell r="AV708" t="str">
            <v>10</v>
          </cell>
          <cell r="AW708">
            <v>0</v>
          </cell>
          <cell r="AX708">
            <v>0</v>
          </cell>
          <cell r="AY708">
            <v>0</v>
          </cell>
          <cell r="AZ708">
            <v>0</v>
          </cell>
          <cell r="BA708">
            <v>0</v>
          </cell>
          <cell r="BD708" t="str">
            <v/>
          </cell>
          <cell r="BE708">
            <v>1</v>
          </cell>
          <cell r="BG708" t="str">
            <v>1100</v>
          </cell>
        </row>
        <row r="709">
          <cell r="B709" t="str">
            <v>G142040106100200</v>
          </cell>
          <cell r="C709" t="str">
            <v>14.神奈川県</v>
          </cell>
          <cell r="D709" t="str">
            <v>204</v>
          </cell>
          <cell r="E709" t="str">
            <v>鎌倉市</v>
          </cell>
          <cell r="F709" t="str">
            <v>01</v>
          </cell>
          <cell r="G709" t="str">
            <v>公共 単独</v>
          </cell>
          <cell r="H709" t="str">
            <v>公共下水道</v>
          </cell>
          <cell r="I709" t="str">
            <v>単独</v>
          </cell>
          <cell r="J709" t="str">
            <v>002</v>
          </cell>
          <cell r="K709" t="str">
            <v>山崎浄化センター</v>
          </cell>
          <cell r="M709" t="str">
            <v>1</v>
          </cell>
          <cell r="N709" t="str">
            <v>1</v>
          </cell>
          <cell r="P709" t="str">
            <v>1</v>
          </cell>
          <cell r="Q709">
            <v>34121</v>
          </cell>
          <cell r="R709" t="str">
            <v>平成</v>
          </cell>
          <cell r="S709">
            <v>5</v>
          </cell>
          <cell r="T709">
            <v>6</v>
          </cell>
          <cell r="AB709">
            <v>52800</v>
          </cell>
          <cell r="AC709" t="str">
            <v>境川</v>
          </cell>
          <cell r="AD709" t="str">
            <v>Ｄ</v>
          </cell>
          <cell r="AE709" t="str">
            <v>ハ</v>
          </cell>
          <cell r="AF709">
            <v>15</v>
          </cell>
          <cell r="AI709" t="str">
            <v>山崎雨水幹線</v>
          </cell>
          <cell r="AJ709" t="str">
            <v>柏尾川</v>
          </cell>
          <cell r="AQ709" t="str">
            <v/>
          </cell>
          <cell r="AR709" t="str">
            <v>標準活性汚泥法</v>
          </cell>
          <cell r="AS709" t="str">
            <v>1420401002</v>
          </cell>
          <cell r="AT709" t="str">
            <v/>
          </cell>
          <cell r="AU709" t="str">
            <v>10</v>
          </cell>
          <cell r="AV709" t="str">
            <v>10</v>
          </cell>
          <cell r="AW709">
            <v>1</v>
          </cell>
          <cell r="AX709">
            <v>0</v>
          </cell>
          <cell r="AY709">
            <v>0</v>
          </cell>
          <cell r="AZ709">
            <v>0</v>
          </cell>
          <cell r="BA709">
            <v>0</v>
          </cell>
          <cell r="BD709" t="str">
            <v/>
          </cell>
          <cell r="BE709">
            <v>1</v>
          </cell>
          <cell r="BG709" t="str">
            <v>1101</v>
          </cell>
        </row>
        <row r="710">
          <cell r="B710" t="str">
            <v>G142050106100100</v>
          </cell>
          <cell r="C710" t="str">
            <v>14.神奈川県</v>
          </cell>
          <cell r="D710" t="str">
            <v>205</v>
          </cell>
          <cell r="E710" t="str">
            <v>藤沢市</v>
          </cell>
          <cell r="F710" t="str">
            <v>01</v>
          </cell>
          <cell r="G710" t="str">
            <v>公共 単独</v>
          </cell>
          <cell r="H710" t="str">
            <v>公共下水道</v>
          </cell>
          <cell r="I710" t="str">
            <v>単独</v>
          </cell>
          <cell r="J710" t="str">
            <v>001</v>
          </cell>
          <cell r="K710" t="str">
            <v>辻堂浄化センター</v>
          </cell>
          <cell r="M710" t="str">
            <v>1</v>
          </cell>
          <cell r="N710" t="str">
            <v>1</v>
          </cell>
          <cell r="P710" t="str">
            <v>1</v>
          </cell>
          <cell r="Q710">
            <v>23590</v>
          </cell>
          <cell r="R710" t="str">
            <v>昭和</v>
          </cell>
          <cell r="S710">
            <v>39</v>
          </cell>
          <cell r="T710">
            <v>8</v>
          </cell>
          <cell r="AB710">
            <v>92433</v>
          </cell>
          <cell r="AC710" t="str">
            <v>相模湾(1)</v>
          </cell>
          <cell r="AD710" t="str">
            <v>Ａ</v>
          </cell>
          <cell r="AE710" t="str">
            <v>ハ</v>
          </cell>
          <cell r="AF710">
            <v>15</v>
          </cell>
          <cell r="AI710" t="str">
            <v>相模湾</v>
          </cell>
          <cell r="AQ710" t="str">
            <v/>
          </cell>
          <cell r="AR710" t="str">
            <v>標準活性汚泥法</v>
          </cell>
          <cell r="AS710" t="str">
            <v>1420501001</v>
          </cell>
          <cell r="AT710" t="str">
            <v/>
          </cell>
          <cell r="AU710" t="str">
            <v>10</v>
          </cell>
          <cell r="AV710" t="str">
            <v>10</v>
          </cell>
          <cell r="AW710">
            <v>1</v>
          </cell>
          <cell r="AX710">
            <v>0</v>
          </cell>
          <cell r="AY710">
            <v>0</v>
          </cell>
          <cell r="AZ710">
            <v>0</v>
          </cell>
          <cell r="BA710">
            <v>0</v>
          </cell>
          <cell r="BD710" t="str">
            <v/>
          </cell>
          <cell r="BE710">
            <v>1</v>
          </cell>
          <cell r="BG710" t="str">
            <v>1101</v>
          </cell>
        </row>
        <row r="711">
          <cell r="B711" t="str">
            <v>G142050106100200</v>
          </cell>
          <cell r="C711" t="str">
            <v>14.神奈川県</v>
          </cell>
          <cell r="D711" t="str">
            <v>205</v>
          </cell>
          <cell r="E711" t="str">
            <v>藤沢市</v>
          </cell>
          <cell r="F711" t="str">
            <v>01</v>
          </cell>
          <cell r="G711" t="str">
            <v>公共 単独</v>
          </cell>
          <cell r="H711" t="str">
            <v>公共下水道</v>
          </cell>
          <cell r="I711" t="str">
            <v>単独</v>
          </cell>
          <cell r="J711" t="str">
            <v>002</v>
          </cell>
          <cell r="K711" t="str">
            <v>大清水浄化センター</v>
          </cell>
          <cell r="M711" t="str">
            <v>1</v>
          </cell>
          <cell r="N711" t="str">
            <v>1</v>
          </cell>
          <cell r="Q711">
            <v>31229</v>
          </cell>
          <cell r="R711" t="str">
            <v>昭和</v>
          </cell>
          <cell r="S711">
            <v>60</v>
          </cell>
          <cell r="T711">
            <v>7</v>
          </cell>
          <cell r="AB711">
            <v>167500</v>
          </cell>
          <cell r="AC711" t="str">
            <v>境川</v>
          </cell>
          <cell r="AD711" t="str">
            <v>Ｄ</v>
          </cell>
          <cell r="AE711" t="str">
            <v>ハ</v>
          </cell>
          <cell r="AF711">
            <v>15</v>
          </cell>
          <cell r="AJ711" t="str">
            <v>境川</v>
          </cell>
          <cell r="AQ711" t="str">
            <v/>
          </cell>
          <cell r="AR711" t="str">
            <v>標準活性汚泥法</v>
          </cell>
          <cell r="AS711" t="str">
            <v>1420501002</v>
          </cell>
          <cell r="AT711" t="str">
            <v/>
          </cell>
          <cell r="AU711" t="str">
            <v>10</v>
          </cell>
          <cell r="AV711" t="str">
            <v>10</v>
          </cell>
          <cell r="AW711">
            <v>0</v>
          </cell>
          <cell r="AX711">
            <v>0</v>
          </cell>
          <cell r="AY711">
            <v>0</v>
          </cell>
          <cell r="AZ711">
            <v>0</v>
          </cell>
          <cell r="BA711">
            <v>0</v>
          </cell>
          <cell r="BD711" t="str">
            <v/>
          </cell>
          <cell r="BE711">
            <v>1</v>
          </cell>
          <cell r="BG711" t="str">
            <v>1100</v>
          </cell>
        </row>
        <row r="712">
          <cell r="B712" t="str">
            <v>G142061106100100</v>
          </cell>
          <cell r="C712" t="str">
            <v>14.神奈川県</v>
          </cell>
          <cell r="D712" t="str">
            <v>206</v>
          </cell>
          <cell r="E712" t="str">
            <v>小田原市</v>
          </cell>
          <cell r="F712" t="str">
            <v>11</v>
          </cell>
          <cell r="G712" t="str">
            <v>公共 流域関連</v>
          </cell>
          <cell r="H712" t="str">
            <v>公共下水道</v>
          </cell>
          <cell r="I712" t="str">
            <v>流域関連</v>
          </cell>
          <cell r="J712" t="str">
            <v>001</v>
          </cell>
          <cell r="K712" t="str">
            <v>寿町終末処理場</v>
          </cell>
          <cell r="M712" t="str">
            <v>1</v>
          </cell>
          <cell r="Q712">
            <v>24351</v>
          </cell>
          <cell r="R712" t="str">
            <v>昭和</v>
          </cell>
          <cell r="S712">
            <v>41</v>
          </cell>
          <cell r="T712">
            <v>9</v>
          </cell>
          <cell r="AB712">
            <v>34104</v>
          </cell>
          <cell r="AC712" t="str">
            <v>相模湾（２）</v>
          </cell>
          <cell r="AD712" t="str">
            <v>Ａ</v>
          </cell>
          <cell r="AE712" t="str">
            <v>イ</v>
          </cell>
          <cell r="AF712">
            <v>15</v>
          </cell>
          <cell r="AJ712" t="str">
            <v>酒匂川</v>
          </cell>
          <cell r="AL712" t="str">
            <v>酒匂川飯泉取水口</v>
          </cell>
          <cell r="AM712">
            <v>2</v>
          </cell>
          <cell r="AO712" t="str">
            <v>小田原市・県央</v>
          </cell>
          <cell r="AQ712" t="str">
            <v/>
          </cell>
          <cell r="AR712" t="str">
            <v>ステップエアレーション法</v>
          </cell>
          <cell r="AS712" t="str">
            <v>1420611001</v>
          </cell>
          <cell r="AT712" t="str">
            <v/>
          </cell>
          <cell r="AU712" t="str">
            <v>00</v>
          </cell>
          <cell r="AV712" t="str">
            <v>00</v>
          </cell>
          <cell r="AW712">
            <v>0</v>
          </cell>
          <cell r="AX712">
            <v>0</v>
          </cell>
          <cell r="AY712">
            <v>0</v>
          </cell>
          <cell r="AZ712">
            <v>0</v>
          </cell>
          <cell r="BA712">
            <v>0</v>
          </cell>
          <cell r="BD712" t="str">
            <v/>
          </cell>
          <cell r="BE712">
            <v>1</v>
          </cell>
          <cell r="BG712" t="str">
            <v>1000</v>
          </cell>
        </row>
        <row r="713">
          <cell r="B713" t="str">
            <v>G142080106100100</v>
          </cell>
          <cell r="C713" t="str">
            <v>14.神奈川県</v>
          </cell>
          <cell r="D713" t="str">
            <v>208</v>
          </cell>
          <cell r="E713" t="str">
            <v>逗子市</v>
          </cell>
          <cell r="F713" t="str">
            <v>01</v>
          </cell>
          <cell r="G713" t="str">
            <v>公共 単独</v>
          </cell>
          <cell r="H713" t="str">
            <v>公共下水道</v>
          </cell>
          <cell r="I713" t="str">
            <v>単独</v>
          </cell>
          <cell r="J713" t="str">
            <v>001</v>
          </cell>
          <cell r="K713" t="str">
            <v>逗子市浄水管理センター</v>
          </cell>
          <cell r="M713" t="str">
            <v>1</v>
          </cell>
          <cell r="N713" t="str">
            <v>1</v>
          </cell>
          <cell r="O713" t="str">
            <v>1</v>
          </cell>
          <cell r="Q713">
            <v>26390</v>
          </cell>
          <cell r="R713" t="str">
            <v>昭和</v>
          </cell>
          <cell r="S713">
            <v>47</v>
          </cell>
          <cell r="T713">
            <v>4</v>
          </cell>
          <cell r="U713" t="str">
            <v>名称変更</v>
          </cell>
          <cell r="V713">
            <v>39873</v>
          </cell>
          <cell r="W713" t="str">
            <v>平成</v>
          </cell>
          <cell r="X713">
            <v>21</v>
          </cell>
          <cell r="Y713">
            <v>3</v>
          </cell>
          <cell r="Z713" t="str">
            <v>桜山終末処理場</v>
          </cell>
          <cell r="AB713">
            <v>21299</v>
          </cell>
          <cell r="AC713" t="str">
            <v>相模湾（2）</v>
          </cell>
          <cell r="AD713" t="str">
            <v>Ａ</v>
          </cell>
          <cell r="AE713" t="str">
            <v>イ</v>
          </cell>
          <cell r="AF713">
            <v>15</v>
          </cell>
          <cell r="AI713" t="str">
            <v>相模湾</v>
          </cell>
          <cell r="AQ713" t="str">
            <v/>
          </cell>
          <cell r="AR713" t="str">
            <v>標準活性汚泥法</v>
          </cell>
          <cell r="AS713" t="str">
            <v>1420801001</v>
          </cell>
          <cell r="AT713" t="str">
            <v/>
          </cell>
          <cell r="AU713" t="str">
            <v>11</v>
          </cell>
          <cell r="AV713" t="str">
            <v>11</v>
          </cell>
          <cell r="AW713">
            <v>0</v>
          </cell>
          <cell r="AX713">
            <v>0</v>
          </cell>
          <cell r="AY713">
            <v>0</v>
          </cell>
          <cell r="AZ713">
            <v>0</v>
          </cell>
          <cell r="BA713">
            <v>0</v>
          </cell>
          <cell r="BD713" t="str">
            <v/>
          </cell>
          <cell r="BE713">
            <v>1</v>
          </cell>
          <cell r="BG713" t="str">
            <v>1110</v>
          </cell>
        </row>
        <row r="714">
          <cell r="B714" t="str">
            <v>G142100106100100</v>
          </cell>
          <cell r="C714" t="str">
            <v>14.神奈川県</v>
          </cell>
          <cell r="D714" t="str">
            <v>210</v>
          </cell>
          <cell r="E714" t="str">
            <v>三浦市</v>
          </cell>
          <cell r="F714" t="str">
            <v>01</v>
          </cell>
          <cell r="G714" t="str">
            <v>公共 単独</v>
          </cell>
          <cell r="H714" t="str">
            <v>公共下水道</v>
          </cell>
          <cell r="I714" t="str">
            <v>単独</v>
          </cell>
          <cell r="J714" t="str">
            <v>001</v>
          </cell>
          <cell r="K714" t="str">
            <v>三浦市東部浄化センター</v>
          </cell>
          <cell r="M714" t="str">
            <v>1</v>
          </cell>
          <cell r="N714" t="str">
            <v>1</v>
          </cell>
          <cell r="Q714">
            <v>36008</v>
          </cell>
          <cell r="R714" t="str">
            <v>平成</v>
          </cell>
          <cell r="S714">
            <v>10</v>
          </cell>
          <cell r="T714">
            <v>8</v>
          </cell>
          <cell r="AB714">
            <v>21300</v>
          </cell>
          <cell r="AC714" t="str">
            <v>東京湾</v>
          </cell>
          <cell r="AD714" t="str">
            <v>Ａ</v>
          </cell>
          <cell r="AE714" t="str">
            <v>イ</v>
          </cell>
          <cell r="AF714">
            <v>15</v>
          </cell>
          <cell r="AI714" t="str">
            <v>東京湾</v>
          </cell>
          <cell r="AQ714" t="str">
            <v/>
          </cell>
          <cell r="AR714" t="str">
            <v>標準活性汚泥法</v>
          </cell>
          <cell r="AS714" t="str">
            <v>1421001001</v>
          </cell>
          <cell r="AT714" t="str">
            <v/>
          </cell>
          <cell r="AU714" t="str">
            <v>10</v>
          </cell>
          <cell r="AV714" t="str">
            <v>10</v>
          </cell>
          <cell r="AW714">
            <v>0</v>
          </cell>
          <cell r="AX714">
            <v>0</v>
          </cell>
          <cell r="AY714">
            <v>0</v>
          </cell>
          <cell r="AZ714">
            <v>0</v>
          </cell>
          <cell r="BA714">
            <v>0</v>
          </cell>
          <cell r="BD714" t="str">
            <v/>
          </cell>
          <cell r="BE714">
            <v>1</v>
          </cell>
          <cell r="BG714" t="str">
            <v>1100</v>
          </cell>
        </row>
        <row r="715">
          <cell r="B715" t="str">
            <v>G142110106100100</v>
          </cell>
          <cell r="C715" t="str">
            <v>14.神奈川県</v>
          </cell>
          <cell r="D715" t="str">
            <v>211</v>
          </cell>
          <cell r="E715" t="str">
            <v>秦野市</v>
          </cell>
          <cell r="F715" t="str">
            <v>01</v>
          </cell>
          <cell r="G715" t="str">
            <v>公共 単独</v>
          </cell>
          <cell r="H715" t="str">
            <v>公共下水道</v>
          </cell>
          <cell r="I715" t="str">
            <v>単独</v>
          </cell>
          <cell r="J715" t="str">
            <v>001</v>
          </cell>
          <cell r="K715" t="str">
            <v>浄水管理センター</v>
          </cell>
          <cell r="M715" t="str">
            <v>1</v>
          </cell>
          <cell r="N715" t="str">
            <v>1</v>
          </cell>
          <cell r="Q715">
            <v>29618</v>
          </cell>
          <cell r="R715" t="str">
            <v>昭和</v>
          </cell>
          <cell r="S715">
            <v>56</v>
          </cell>
          <cell r="T715">
            <v>2</v>
          </cell>
          <cell r="AB715">
            <v>80700</v>
          </cell>
          <cell r="AC715" t="str">
            <v>金目川</v>
          </cell>
          <cell r="AD715" t="str">
            <v>Ａ</v>
          </cell>
          <cell r="AE715" t="str">
            <v>ハ</v>
          </cell>
          <cell r="AF715">
            <v>15</v>
          </cell>
          <cell r="AJ715" t="str">
            <v>金目川</v>
          </cell>
          <cell r="AQ715" t="str">
            <v/>
          </cell>
          <cell r="AR715" t="str">
            <v>標準活性汚泥法</v>
          </cell>
          <cell r="AS715" t="str">
            <v>1421101001</v>
          </cell>
          <cell r="AT715" t="str">
            <v/>
          </cell>
          <cell r="AU715" t="str">
            <v>10</v>
          </cell>
          <cell r="AV715" t="str">
            <v>10</v>
          </cell>
          <cell r="AW715">
            <v>0</v>
          </cell>
          <cell r="AX715">
            <v>0</v>
          </cell>
          <cell r="AY715">
            <v>0</v>
          </cell>
          <cell r="AZ715">
            <v>0</v>
          </cell>
          <cell r="BA715">
            <v>0</v>
          </cell>
          <cell r="BD715" t="str">
            <v/>
          </cell>
          <cell r="BE715">
            <v>1</v>
          </cell>
          <cell r="BG715" t="str">
            <v>1100</v>
          </cell>
        </row>
        <row r="716">
          <cell r="B716" t="str">
            <v>G142130106100100</v>
          </cell>
          <cell r="C716" t="str">
            <v>14.神奈川県</v>
          </cell>
          <cell r="D716" t="str">
            <v>213</v>
          </cell>
          <cell r="E716" t="str">
            <v>大和市</v>
          </cell>
          <cell r="F716" t="str">
            <v>01</v>
          </cell>
          <cell r="G716" t="str">
            <v>公共 単独</v>
          </cell>
          <cell r="H716" t="str">
            <v>公共下水道</v>
          </cell>
          <cell r="I716" t="str">
            <v>単独</v>
          </cell>
          <cell r="J716" t="str">
            <v>001</v>
          </cell>
          <cell r="K716" t="str">
            <v>中部浄化センター</v>
          </cell>
          <cell r="M716" t="str">
            <v>1</v>
          </cell>
          <cell r="N716" t="str">
            <v>1</v>
          </cell>
          <cell r="Q716">
            <v>25294</v>
          </cell>
          <cell r="R716" t="str">
            <v>昭和</v>
          </cell>
          <cell r="S716">
            <v>44</v>
          </cell>
          <cell r="T716">
            <v>4</v>
          </cell>
          <cell r="AB716">
            <v>65670</v>
          </cell>
          <cell r="AC716" t="str">
            <v>境川（全域）</v>
          </cell>
          <cell r="AD716" t="str">
            <v>Ｄ</v>
          </cell>
          <cell r="AE716" t="str">
            <v>ハ</v>
          </cell>
          <cell r="AF716">
            <v>15</v>
          </cell>
          <cell r="AJ716" t="str">
            <v>境川</v>
          </cell>
          <cell r="AQ716" t="str">
            <v/>
          </cell>
          <cell r="AR716" t="str">
            <v>標準活性汚泥法</v>
          </cell>
          <cell r="AS716" t="str">
            <v>1421301001</v>
          </cell>
          <cell r="AT716" t="str">
            <v/>
          </cell>
          <cell r="AU716" t="str">
            <v>10</v>
          </cell>
          <cell r="AV716" t="str">
            <v>10</v>
          </cell>
          <cell r="AW716">
            <v>0</v>
          </cell>
          <cell r="AX716">
            <v>0</v>
          </cell>
          <cell r="AY716">
            <v>0</v>
          </cell>
          <cell r="AZ716">
            <v>0</v>
          </cell>
          <cell r="BA716">
            <v>0</v>
          </cell>
          <cell r="BD716" t="str">
            <v/>
          </cell>
          <cell r="BE716">
            <v>1</v>
          </cell>
          <cell r="BG716" t="str">
            <v>1100</v>
          </cell>
        </row>
        <row r="717">
          <cell r="B717" t="str">
            <v>G142130106100200</v>
          </cell>
          <cell r="C717" t="str">
            <v>14.神奈川県</v>
          </cell>
          <cell r="D717" t="str">
            <v>213</v>
          </cell>
          <cell r="E717" t="str">
            <v>大和市</v>
          </cell>
          <cell r="F717" t="str">
            <v>01</v>
          </cell>
          <cell r="G717" t="str">
            <v>公共 単独</v>
          </cell>
          <cell r="H717" t="str">
            <v>公共下水道</v>
          </cell>
          <cell r="I717" t="str">
            <v>単独</v>
          </cell>
          <cell r="J717" t="str">
            <v>002</v>
          </cell>
          <cell r="K717" t="str">
            <v>北部浄化センター</v>
          </cell>
          <cell r="M717" t="str">
            <v>1</v>
          </cell>
          <cell r="N717" t="str">
            <v>1</v>
          </cell>
          <cell r="Q717">
            <v>32478</v>
          </cell>
          <cell r="R717" t="str">
            <v>昭和</v>
          </cell>
          <cell r="S717">
            <v>63</v>
          </cell>
          <cell r="T717">
            <v>12</v>
          </cell>
          <cell r="AB717">
            <v>35400</v>
          </cell>
          <cell r="AC717" t="str">
            <v>境川(全域）</v>
          </cell>
          <cell r="AD717" t="str">
            <v>Ｄ</v>
          </cell>
          <cell r="AE717" t="str">
            <v>ハ</v>
          </cell>
          <cell r="AF717">
            <v>15</v>
          </cell>
          <cell r="AJ717" t="str">
            <v>境川</v>
          </cell>
          <cell r="AQ717" t="str">
            <v/>
          </cell>
          <cell r="AR717" t="str">
            <v>標準活性汚泥法</v>
          </cell>
          <cell r="AS717" t="str">
            <v>1421301002</v>
          </cell>
          <cell r="AT717" t="str">
            <v/>
          </cell>
          <cell r="AU717" t="str">
            <v>10</v>
          </cell>
          <cell r="AV717" t="str">
            <v>10</v>
          </cell>
          <cell r="AW717">
            <v>0</v>
          </cell>
          <cell r="AX717">
            <v>0</v>
          </cell>
          <cell r="AY717">
            <v>0</v>
          </cell>
          <cell r="AZ717">
            <v>0</v>
          </cell>
          <cell r="BA717">
            <v>0</v>
          </cell>
          <cell r="BD717" t="str">
            <v/>
          </cell>
          <cell r="BE717">
            <v>1</v>
          </cell>
          <cell r="BG717" t="str">
            <v>1100</v>
          </cell>
        </row>
        <row r="718">
          <cell r="B718" t="str">
            <v>G142140106100100</v>
          </cell>
          <cell r="C718" t="str">
            <v>14.神奈川県</v>
          </cell>
          <cell r="D718" t="str">
            <v>214</v>
          </cell>
          <cell r="E718" t="str">
            <v>伊勢原市</v>
          </cell>
          <cell r="F718" t="str">
            <v>01</v>
          </cell>
          <cell r="G718" t="str">
            <v>公共 単独</v>
          </cell>
          <cell r="H718" t="str">
            <v>公共下水道</v>
          </cell>
          <cell r="I718" t="str">
            <v>単独</v>
          </cell>
          <cell r="J718" t="str">
            <v>001</v>
          </cell>
          <cell r="K718" t="str">
            <v>伊勢原終末処理場</v>
          </cell>
          <cell r="M718" t="str">
            <v>1</v>
          </cell>
          <cell r="N718" t="str">
            <v>1</v>
          </cell>
          <cell r="Q718">
            <v>31837</v>
          </cell>
          <cell r="R718" t="str">
            <v>昭和</v>
          </cell>
          <cell r="S718">
            <v>62</v>
          </cell>
          <cell r="T718">
            <v>3</v>
          </cell>
          <cell r="AB718">
            <v>69803</v>
          </cell>
          <cell r="AC718" t="str">
            <v>金目川</v>
          </cell>
          <cell r="AD718" t="str">
            <v>Ｃ</v>
          </cell>
          <cell r="AE718" t="str">
            <v>ハ</v>
          </cell>
          <cell r="AF718">
            <v>15</v>
          </cell>
          <cell r="AI718" t="str">
            <v>鈴川</v>
          </cell>
          <cell r="AJ718" t="str">
            <v>金目川</v>
          </cell>
          <cell r="AQ718" t="str">
            <v/>
          </cell>
          <cell r="AR718" t="str">
            <v>標準活性汚泥法</v>
          </cell>
          <cell r="AS718" t="str">
            <v>1421401001</v>
          </cell>
          <cell r="AT718" t="str">
            <v/>
          </cell>
          <cell r="AU718" t="str">
            <v>10</v>
          </cell>
          <cell r="AV718" t="str">
            <v>10</v>
          </cell>
          <cell r="AW718">
            <v>0</v>
          </cell>
          <cell r="AX718">
            <v>0</v>
          </cell>
          <cell r="AY718">
            <v>0</v>
          </cell>
          <cell r="AZ718">
            <v>0</v>
          </cell>
          <cell r="BA718">
            <v>0</v>
          </cell>
          <cell r="BD718" t="str">
            <v/>
          </cell>
          <cell r="BE718">
            <v>1</v>
          </cell>
          <cell r="BG718" t="str">
            <v>1100</v>
          </cell>
        </row>
        <row r="719">
          <cell r="B719" t="str">
            <v>G142180106100100</v>
          </cell>
          <cell r="C719" t="str">
            <v>14.神奈川県</v>
          </cell>
          <cell r="D719" t="str">
            <v>218</v>
          </cell>
          <cell r="E719" t="str">
            <v>綾瀬市</v>
          </cell>
          <cell r="F719" t="str">
            <v>01</v>
          </cell>
          <cell r="G719" t="str">
            <v>公共 単独</v>
          </cell>
          <cell r="H719" t="str">
            <v>公共下水道</v>
          </cell>
          <cell r="I719" t="str">
            <v>単独</v>
          </cell>
          <cell r="J719" t="str">
            <v>001</v>
          </cell>
          <cell r="K719" t="str">
            <v>綾瀬終末処理場</v>
          </cell>
          <cell r="M719" t="str">
            <v>1</v>
          </cell>
          <cell r="N719" t="str">
            <v>1</v>
          </cell>
          <cell r="Q719">
            <v>31990</v>
          </cell>
          <cell r="R719" t="str">
            <v>昭和</v>
          </cell>
          <cell r="S719">
            <v>62</v>
          </cell>
          <cell r="T719">
            <v>8</v>
          </cell>
          <cell r="AB719">
            <v>59500</v>
          </cell>
          <cell r="AC719" t="str">
            <v>引地川</v>
          </cell>
          <cell r="AD719" t="str">
            <v>Ｄ</v>
          </cell>
          <cell r="AE719" t="str">
            <v>ハ</v>
          </cell>
          <cell r="AF719">
            <v>15</v>
          </cell>
          <cell r="AI719" t="str">
            <v>蓼川</v>
          </cell>
          <cell r="AJ719" t="str">
            <v>蓼川</v>
          </cell>
          <cell r="AQ719" t="str">
            <v/>
          </cell>
          <cell r="AR719" t="str">
            <v>標準活性汚泥法</v>
          </cell>
          <cell r="AS719" t="str">
            <v>1421801001</v>
          </cell>
          <cell r="AT719" t="str">
            <v/>
          </cell>
          <cell r="AU719" t="str">
            <v>10</v>
          </cell>
          <cell r="AV719" t="str">
            <v>10</v>
          </cell>
          <cell r="AW719">
            <v>0</v>
          </cell>
          <cell r="AX719">
            <v>0</v>
          </cell>
          <cell r="AY719">
            <v>0</v>
          </cell>
          <cell r="AZ719">
            <v>0</v>
          </cell>
          <cell r="BA719">
            <v>0</v>
          </cell>
          <cell r="BD719" t="str">
            <v/>
          </cell>
          <cell r="BE719">
            <v>1</v>
          </cell>
          <cell r="BG719" t="str">
            <v>1100</v>
          </cell>
        </row>
        <row r="720">
          <cell r="B720" t="str">
            <v>G143010106100100</v>
          </cell>
          <cell r="C720" t="str">
            <v>14.神奈川県</v>
          </cell>
          <cell r="D720" t="str">
            <v>301</v>
          </cell>
          <cell r="E720" t="str">
            <v>葉山町</v>
          </cell>
          <cell r="F720" t="str">
            <v>01</v>
          </cell>
          <cell r="G720" t="str">
            <v>公共 単独</v>
          </cell>
          <cell r="H720" t="str">
            <v>公共下水道</v>
          </cell>
          <cell r="I720" t="str">
            <v>単独</v>
          </cell>
          <cell r="J720" t="str">
            <v>001</v>
          </cell>
          <cell r="K720" t="str">
            <v>葉山浄化センター</v>
          </cell>
          <cell r="M720" t="str">
            <v>1</v>
          </cell>
          <cell r="N720" t="str">
            <v>1</v>
          </cell>
          <cell r="Q720">
            <v>36220</v>
          </cell>
          <cell r="R720" t="str">
            <v>平成</v>
          </cell>
          <cell r="S720">
            <v>11</v>
          </cell>
          <cell r="T720">
            <v>3</v>
          </cell>
          <cell r="AB720">
            <v>29500</v>
          </cell>
          <cell r="AC720" t="str">
            <v>森戸川</v>
          </cell>
          <cell r="AD720" t="str">
            <v>Ｅ</v>
          </cell>
          <cell r="AE720" t="str">
            <v>ハ</v>
          </cell>
          <cell r="AF720">
            <v>9.5</v>
          </cell>
          <cell r="AI720" t="str">
            <v>大南郷川</v>
          </cell>
          <cell r="AJ720" t="str">
            <v>森戸川</v>
          </cell>
          <cell r="AQ720" t="str">
            <v/>
          </cell>
          <cell r="AR720" t="str">
            <v>標準活性汚泥法</v>
          </cell>
          <cell r="AS720" t="str">
            <v>1430101001</v>
          </cell>
          <cell r="AT720" t="str">
            <v/>
          </cell>
          <cell r="AU720" t="str">
            <v>10</v>
          </cell>
          <cell r="AV720" t="str">
            <v>10</v>
          </cell>
          <cell r="AW720">
            <v>0</v>
          </cell>
          <cell r="AX720">
            <v>0</v>
          </cell>
          <cell r="AY720">
            <v>0</v>
          </cell>
          <cell r="AZ720">
            <v>0</v>
          </cell>
          <cell r="BA720">
            <v>0</v>
          </cell>
          <cell r="BD720" t="str">
            <v/>
          </cell>
          <cell r="BE720">
            <v>1</v>
          </cell>
          <cell r="BG720" t="str">
            <v>1100</v>
          </cell>
        </row>
        <row r="721">
          <cell r="B721" t="str">
            <v>G143820106100100</v>
          </cell>
          <cell r="C721" t="str">
            <v>14.神奈川県</v>
          </cell>
          <cell r="D721" t="str">
            <v>382</v>
          </cell>
          <cell r="E721" t="str">
            <v>箱根町</v>
          </cell>
          <cell r="F721" t="str">
            <v>01</v>
          </cell>
          <cell r="G721" t="str">
            <v>公共 単独</v>
          </cell>
          <cell r="H721" t="str">
            <v>公共下水道</v>
          </cell>
          <cell r="I721" t="str">
            <v>単独</v>
          </cell>
          <cell r="J721" t="str">
            <v>001</v>
          </cell>
          <cell r="K721" t="str">
            <v>宮城野浄水センター</v>
          </cell>
          <cell r="M721" t="str">
            <v>1</v>
          </cell>
          <cell r="N721" t="str">
            <v>1</v>
          </cell>
          <cell r="Q721">
            <v>32782</v>
          </cell>
          <cell r="R721" t="str">
            <v>平成</v>
          </cell>
          <cell r="S721">
            <v>1</v>
          </cell>
          <cell r="T721">
            <v>10</v>
          </cell>
          <cell r="AB721">
            <v>26800</v>
          </cell>
          <cell r="AC721" t="str">
            <v>早川</v>
          </cell>
          <cell r="AD721" t="str">
            <v>Ａ</v>
          </cell>
          <cell r="AE721" t="str">
            <v>ハ</v>
          </cell>
          <cell r="AF721">
            <v>15</v>
          </cell>
          <cell r="AJ721" t="str">
            <v>早川</v>
          </cell>
          <cell r="AQ721" t="str">
            <v/>
          </cell>
          <cell r="AR721" t="str">
            <v>標準活性汚泥法</v>
          </cell>
          <cell r="AS721" t="str">
            <v>1438201001</v>
          </cell>
          <cell r="AT721" t="str">
            <v/>
          </cell>
          <cell r="AU721" t="str">
            <v>10</v>
          </cell>
          <cell r="AV721" t="str">
            <v>10</v>
          </cell>
          <cell r="AW721">
            <v>0</v>
          </cell>
          <cell r="AX721">
            <v>0</v>
          </cell>
          <cell r="AY721">
            <v>0</v>
          </cell>
          <cell r="AZ721">
            <v>0</v>
          </cell>
          <cell r="BA721">
            <v>0</v>
          </cell>
          <cell r="BD721" t="str">
            <v/>
          </cell>
          <cell r="BE721">
            <v>1</v>
          </cell>
          <cell r="BG721" t="str">
            <v>1100</v>
          </cell>
        </row>
        <row r="722">
          <cell r="B722" t="str">
            <v>G143820106100200</v>
          </cell>
          <cell r="C722" t="str">
            <v>14.神奈川県</v>
          </cell>
          <cell r="D722" t="str">
            <v>382</v>
          </cell>
          <cell r="E722" t="str">
            <v>箱根町</v>
          </cell>
          <cell r="F722" t="str">
            <v>01</v>
          </cell>
          <cell r="G722" t="str">
            <v>公共 単独</v>
          </cell>
          <cell r="H722" t="str">
            <v>公共下水道</v>
          </cell>
          <cell r="I722" t="str">
            <v>単独</v>
          </cell>
          <cell r="J722" t="str">
            <v>002</v>
          </cell>
          <cell r="K722" t="str">
            <v>仙石原浄水センター</v>
          </cell>
          <cell r="M722" t="str">
            <v>1</v>
          </cell>
          <cell r="N722" t="str">
            <v>1</v>
          </cell>
          <cell r="Q722">
            <v>31321</v>
          </cell>
          <cell r="R722" t="str">
            <v>昭和</v>
          </cell>
          <cell r="S722">
            <v>60</v>
          </cell>
          <cell r="T722">
            <v>10</v>
          </cell>
          <cell r="AB722">
            <v>91000</v>
          </cell>
          <cell r="AC722" t="str">
            <v>早川</v>
          </cell>
          <cell r="AD722" t="str">
            <v>Ａ</v>
          </cell>
          <cell r="AE722" t="str">
            <v>ハ</v>
          </cell>
          <cell r="AF722">
            <v>15</v>
          </cell>
          <cell r="AJ722" t="str">
            <v>早川</v>
          </cell>
          <cell r="AQ722" t="str">
            <v/>
          </cell>
          <cell r="AR722" t="str">
            <v>標準活性汚泥法</v>
          </cell>
          <cell r="AS722" t="str">
            <v>1438201002</v>
          </cell>
          <cell r="AT722" t="str">
            <v/>
          </cell>
          <cell r="AU722" t="str">
            <v>10</v>
          </cell>
          <cell r="AV722" t="str">
            <v>10</v>
          </cell>
          <cell r="AW722">
            <v>0</v>
          </cell>
          <cell r="AX722">
            <v>0</v>
          </cell>
          <cell r="AY722">
            <v>0</v>
          </cell>
          <cell r="AZ722">
            <v>0</v>
          </cell>
          <cell r="BA722">
            <v>0</v>
          </cell>
          <cell r="BD722" t="str">
            <v/>
          </cell>
          <cell r="BE722">
            <v>1</v>
          </cell>
          <cell r="BG722" t="str">
            <v>1100</v>
          </cell>
        </row>
        <row r="723">
          <cell r="B723" t="str">
            <v>G143840106100100</v>
          </cell>
          <cell r="C723" t="str">
            <v>14.神奈川県</v>
          </cell>
          <cell r="D723" t="str">
            <v>384</v>
          </cell>
          <cell r="E723" t="str">
            <v>湯河原町</v>
          </cell>
          <cell r="F723" t="str">
            <v>01</v>
          </cell>
          <cell r="G723" t="str">
            <v>公共 単独</v>
          </cell>
          <cell r="H723" t="str">
            <v>公共下水道</v>
          </cell>
          <cell r="I723" t="str">
            <v>単独</v>
          </cell>
          <cell r="J723" t="str">
            <v>001</v>
          </cell>
          <cell r="K723" t="str">
            <v>湯河原町浄水センター</v>
          </cell>
          <cell r="M723" t="str">
            <v>1</v>
          </cell>
          <cell r="N723" t="str">
            <v>1</v>
          </cell>
          <cell r="P723" t="str">
            <v>1</v>
          </cell>
          <cell r="Q723">
            <v>31138</v>
          </cell>
          <cell r="R723" t="str">
            <v>昭和</v>
          </cell>
          <cell r="S723">
            <v>60</v>
          </cell>
          <cell r="T723">
            <v>4</v>
          </cell>
          <cell r="AB723">
            <v>24200</v>
          </cell>
          <cell r="AC723" t="str">
            <v>千歳川</v>
          </cell>
          <cell r="AD723" t="str">
            <v>Ａ</v>
          </cell>
          <cell r="AE723" t="str">
            <v>ハ</v>
          </cell>
          <cell r="AF723">
            <v>15</v>
          </cell>
          <cell r="AJ723" t="str">
            <v>千歳川</v>
          </cell>
          <cell r="AL723" t="str">
            <v>広河原取水口</v>
          </cell>
          <cell r="AM723">
            <v>6</v>
          </cell>
          <cell r="AO723" t="str">
            <v>湯河原町</v>
          </cell>
          <cell r="AP723" t="str">
            <v>特環公共関連分を含む</v>
          </cell>
          <cell r="AQ723" t="str">
            <v/>
          </cell>
          <cell r="AR723" t="str">
            <v>標準活性汚泥法</v>
          </cell>
          <cell r="AS723" t="str">
            <v>1438401001</v>
          </cell>
          <cell r="AT723" t="str">
            <v/>
          </cell>
          <cell r="AU723" t="str">
            <v>10</v>
          </cell>
          <cell r="AV723" t="str">
            <v>10</v>
          </cell>
          <cell r="AW723">
            <v>1</v>
          </cell>
          <cell r="AX723">
            <v>0</v>
          </cell>
          <cell r="AY723">
            <v>0</v>
          </cell>
          <cell r="AZ723">
            <v>0</v>
          </cell>
          <cell r="BA723">
            <v>0</v>
          </cell>
          <cell r="BD723" t="str">
            <v/>
          </cell>
          <cell r="BE723">
            <v>1</v>
          </cell>
          <cell r="BG723" t="str">
            <v>1101</v>
          </cell>
        </row>
        <row r="724">
          <cell r="B724" t="str">
            <v>G144020206100100</v>
          </cell>
          <cell r="C724" t="str">
            <v>14.神奈川県</v>
          </cell>
          <cell r="D724" t="str">
            <v>402</v>
          </cell>
          <cell r="E724" t="str">
            <v>清川村</v>
          </cell>
          <cell r="F724" t="str">
            <v>02</v>
          </cell>
          <cell r="G724" t="str">
            <v>特環 単独</v>
          </cell>
          <cell r="H724" t="str">
            <v>特定環境保全公共下水道</v>
          </cell>
          <cell r="I724" t="str">
            <v>単独</v>
          </cell>
          <cell r="J724" t="str">
            <v>001</v>
          </cell>
          <cell r="K724" t="str">
            <v>清川下水浄化センター</v>
          </cell>
          <cell r="M724" t="str">
            <v>1</v>
          </cell>
          <cell r="N724" t="str">
            <v>1</v>
          </cell>
          <cell r="Q724">
            <v>35674</v>
          </cell>
          <cell r="R724" t="str">
            <v>平成</v>
          </cell>
          <cell r="S724">
            <v>9</v>
          </cell>
          <cell r="T724">
            <v>9</v>
          </cell>
          <cell r="AB724">
            <v>16500</v>
          </cell>
          <cell r="AC724" t="str">
            <v>甲水域</v>
          </cell>
          <cell r="AF724">
            <v>15</v>
          </cell>
          <cell r="AI724" t="str">
            <v>南沢</v>
          </cell>
          <cell r="AK724" t="str">
            <v>小鮎川</v>
          </cell>
          <cell r="AL724" t="str">
            <v>相模大堰</v>
          </cell>
          <cell r="AM724">
            <v>20</v>
          </cell>
          <cell r="AO724" t="str">
            <v>横浜、川崎、横須賀</v>
          </cell>
          <cell r="AQ724" t="str">
            <v/>
          </cell>
          <cell r="AR724" t="str">
            <v>オキシディションディッチ法</v>
          </cell>
          <cell r="AS724" t="str">
            <v>1440202001</v>
          </cell>
          <cell r="AT724" t="str">
            <v/>
          </cell>
          <cell r="AU724" t="str">
            <v>10</v>
          </cell>
          <cell r="AV724" t="str">
            <v>10</v>
          </cell>
          <cell r="AW724">
            <v>0</v>
          </cell>
          <cell r="AX724">
            <v>0</v>
          </cell>
          <cell r="AY724">
            <v>0</v>
          </cell>
          <cell r="AZ724">
            <v>0</v>
          </cell>
          <cell r="BA724">
            <v>0</v>
          </cell>
          <cell r="BD724" t="str">
            <v/>
          </cell>
          <cell r="BE724">
            <v>1</v>
          </cell>
          <cell r="BG724" t="str">
            <v>1100</v>
          </cell>
        </row>
        <row r="725">
          <cell r="B725" t="str">
            <v>G150018106100100</v>
          </cell>
          <cell r="C725" t="str">
            <v>15.新潟県</v>
          </cell>
          <cell r="D725" t="str">
            <v>001</v>
          </cell>
          <cell r="E725" t="str">
            <v>信濃川下流流域</v>
          </cell>
          <cell r="F725" t="str">
            <v>81</v>
          </cell>
          <cell r="G725" t="str">
            <v>流域</v>
          </cell>
          <cell r="H725" t="str">
            <v>流域下水道</v>
          </cell>
          <cell r="I725" t="str">
            <v/>
          </cell>
          <cell r="J725" t="str">
            <v>001</v>
          </cell>
          <cell r="K725" t="str">
            <v>新潟浄化センター</v>
          </cell>
          <cell r="M725" t="str">
            <v>1</v>
          </cell>
          <cell r="N725" t="str">
            <v>1</v>
          </cell>
          <cell r="Q725">
            <v>29495</v>
          </cell>
          <cell r="R725" t="str">
            <v>昭和</v>
          </cell>
          <cell r="S725">
            <v>55</v>
          </cell>
          <cell r="T725">
            <v>10</v>
          </cell>
          <cell r="AB725">
            <v>234000</v>
          </cell>
          <cell r="AC725" t="str">
            <v>阿賀野川</v>
          </cell>
          <cell r="AD725" t="str">
            <v>Ａ</v>
          </cell>
          <cell r="AE725" t="str">
            <v>イ</v>
          </cell>
          <cell r="AF725">
            <v>15</v>
          </cell>
          <cell r="AK725" t="str">
            <v>阿賀野川</v>
          </cell>
          <cell r="AL725" t="str">
            <v>長戸呂浄水場</v>
          </cell>
          <cell r="AM725">
            <v>9</v>
          </cell>
          <cell r="AO725" t="str">
            <v>新潟市</v>
          </cell>
          <cell r="AQ725" t="str">
            <v/>
          </cell>
          <cell r="AR725" t="str">
            <v>標準活性汚泥法</v>
          </cell>
          <cell r="AS725" t="str">
            <v>1500181001</v>
          </cell>
          <cell r="AT725" t="str">
            <v/>
          </cell>
          <cell r="AU725" t="str">
            <v>10</v>
          </cell>
          <cell r="AV725" t="str">
            <v>10</v>
          </cell>
          <cell r="AW725">
            <v>0</v>
          </cell>
          <cell r="AX725">
            <v>0</v>
          </cell>
          <cell r="AY725">
            <v>0</v>
          </cell>
          <cell r="AZ725">
            <v>0</v>
          </cell>
          <cell r="BA725">
            <v>0</v>
          </cell>
          <cell r="BD725" t="str">
            <v/>
          </cell>
          <cell r="BE725">
            <v>1</v>
          </cell>
          <cell r="BG725" t="str">
            <v>1100</v>
          </cell>
        </row>
        <row r="726">
          <cell r="B726" t="str">
            <v>G150018106100200</v>
          </cell>
          <cell r="C726" t="str">
            <v>15.新潟県</v>
          </cell>
          <cell r="D726" t="str">
            <v>001</v>
          </cell>
          <cell r="E726" t="str">
            <v>信濃川下流流域</v>
          </cell>
          <cell r="F726" t="str">
            <v>81</v>
          </cell>
          <cell r="G726" t="str">
            <v>流域</v>
          </cell>
          <cell r="H726" t="str">
            <v>流域下水道</v>
          </cell>
          <cell r="I726" t="str">
            <v/>
          </cell>
          <cell r="J726" t="str">
            <v>002</v>
          </cell>
          <cell r="K726" t="str">
            <v>新津浄化センター</v>
          </cell>
          <cell r="M726" t="str">
            <v>1</v>
          </cell>
          <cell r="N726" t="str">
            <v>1</v>
          </cell>
          <cell r="O726" t="str">
            <v>1</v>
          </cell>
          <cell r="Q726">
            <v>30407</v>
          </cell>
          <cell r="R726" t="str">
            <v>昭和</v>
          </cell>
          <cell r="S726">
            <v>58</v>
          </cell>
          <cell r="T726">
            <v>4</v>
          </cell>
          <cell r="AB726">
            <v>143840</v>
          </cell>
          <cell r="AC726" t="str">
            <v>能代川</v>
          </cell>
          <cell r="AD726" t="str">
            <v>Ｂ</v>
          </cell>
          <cell r="AE726" t="str">
            <v>ロ</v>
          </cell>
          <cell r="AF726">
            <v>10</v>
          </cell>
          <cell r="AK726" t="str">
            <v>能代川</v>
          </cell>
          <cell r="AL726" t="str">
            <v>信濃川取水口</v>
          </cell>
          <cell r="AN726">
            <v>16</v>
          </cell>
          <cell r="AO726" t="str">
            <v>新潟市</v>
          </cell>
          <cell r="AQ726" t="str">
            <v/>
          </cell>
          <cell r="AR726" t="str">
            <v>標準活性汚泥法</v>
          </cell>
          <cell r="AS726" t="str">
            <v>1500181002</v>
          </cell>
          <cell r="AT726" t="str">
            <v/>
          </cell>
          <cell r="AU726" t="str">
            <v>11</v>
          </cell>
          <cell r="AV726" t="str">
            <v>11</v>
          </cell>
          <cell r="AW726">
            <v>0</v>
          </cell>
          <cell r="AX726">
            <v>0</v>
          </cell>
          <cell r="AY726">
            <v>0</v>
          </cell>
          <cell r="AZ726">
            <v>0</v>
          </cell>
          <cell r="BA726">
            <v>0</v>
          </cell>
          <cell r="BD726" t="str">
            <v/>
          </cell>
          <cell r="BE726">
            <v>1</v>
          </cell>
          <cell r="BG726" t="str">
            <v>1110</v>
          </cell>
        </row>
        <row r="727">
          <cell r="B727" t="str">
            <v>G150018106100300</v>
          </cell>
          <cell r="C727" t="str">
            <v>15.新潟県</v>
          </cell>
          <cell r="D727" t="str">
            <v>001</v>
          </cell>
          <cell r="E727" t="str">
            <v>信濃川下流流域</v>
          </cell>
          <cell r="F727" t="str">
            <v>81</v>
          </cell>
          <cell r="G727" t="str">
            <v>流域</v>
          </cell>
          <cell r="H727" t="str">
            <v>流域下水道</v>
          </cell>
          <cell r="I727" t="str">
            <v/>
          </cell>
          <cell r="J727" t="str">
            <v>003</v>
          </cell>
          <cell r="K727" t="str">
            <v>長岡浄化センター</v>
          </cell>
          <cell r="M727" t="str">
            <v>1</v>
          </cell>
          <cell r="N727" t="str">
            <v>1</v>
          </cell>
          <cell r="O727" t="str">
            <v>1</v>
          </cell>
          <cell r="Q727">
            <v>31229</v>
          </cell>
          <cell r="R727" t="str">
            <v>昭和</v>
          </cell>
          <cell r="S727">
            <v>60</v>
          </cell>
          <cell r="T727">
            <v>7</v>
          </cell>
          <cell r="AB727">
            <v>165000</v>
          </cell>
          <cell r="AC727" t="str">
            <v>信濃川</v>
          </cell>
          <cell r="AD727" t="str">
            <v>Ａ</v>
          </cell>
          <cell r="AE727" t="str">
            <v>ロ</v>
          </cell>
          <cell r="AF727">
            <v>15</v>
          </cell>
          <cell r="AK727" t="str">
            <v>信濃川</v>
          </cell>
          <cell r="AL727" t="str">
            <v>信濃川取水ポンプ場</v>
          </cell>
          <cell r="AN727">
            <v>1.9</v>
          </cell>
          <cell r="AO727" t="str">
            <v>長岡市、見附市</v>
          </cell>
          <cell r="AQ727" t="str">
            <v/>
          </cell>
          <cell r="AR727" t="str">
            <v>標準活性汚泥法</v>
          </cell>
          <cell r="AS727" t="str">
            <v>1500181003</v>
          </cell>
          <cell r="AT727" t="str">
            <v/>
          </cell>
          <cell r="AU727" t="str">
            <v>11</v>
          </cell>
          <cell r="AV727" t="str">
            <v>11</v>
          </cell>
          <cell r="AW727">
            <v>0</v>
          </cell>
          <cell r="AX727">
            <v>0</v>
          </cell>
          <cell r="AY727">
            <v>0</v>
          </cell>
          <cell r="AZ727">
            <v>0</v>
          </cell>
          <cell r="BA727">
            <v>0</v>
          </cell>
          <cell r="BD727" t="str">
            <v/>
          </cell>
          <cell r="BE727">
            <v>1</v>
          </cell>
          <cell r="BG727" t="str">
            <v>1110</v>
          </cell>
        </row>
        <row r="728">
          <cell r="B728" t="str">
            <v>G150028106100100</v>
          </cell>
          <cell r="C728" t="str">
            <v>15.新潟県</v>
          </cell>
          <cell r="D728" t="str">
            <v>002</v>
          </cell>
          <cell r="E728" t="str">
            <v>魚野川流域</v>
          </cell>
          <cell r="F728" t="str">
            <v>81</v>
          </cell>
          <cell r="G728" t="str">
            <v>流域</v>
          </cell>
          <cell r="H728" t="str">
            <v>流域下水道</v>
          </cell>
          <cell r="I728" t="str">
            <v/>
          </cell>
          <cell r="J728" t="str">
            <v>001</v>
          </cell>
          <cell r="K728" t="str">
            <v>六日町浄化センター</v>
          </cell>
          <cell r="M728" t="str">
            <v>1</v>
          </cell>
          <cell r="N728" t="str">
            <v>1</v>
          </cell>
          <cell r="Q728">
            <v>33086</v>
          </cell>
          <cell r="R728" t="str">
            <v>平成</v>
          </cell>
          <cell r="S728">
            <v>2</v>
          </cell>
          <cell r="T728">
            <v>8</v>
          </cell>
          <cell r="AB728">
            <v>74500</v>
          </cell>
          <cell r="AC728" t="str">
            <v>魚野川</v>
          </cell>
          <cell r="AD728" t="str">
            <v>Ａ</v>
          </cell>
          <cell r="AE728" t="str">
            <v>イ</v>
          </cell>
          <cell r="AF728">
            <v>15</v>
          </cell>
          <cell r="AI728" t="str">
            <v>古川</v>
          </cell>
          <cell r="AK728" t="str">
            <v>魚野川</v>
          </cell>
          <cell r="AL728" t="str">
            <v>中央簡易水道</v>
          </cell>
          <cell r="AN728">
            <v>25</v>
          </cell>
          <cell r="AO728" t="str">
            <v>長岡市</v>
          </cell>
          <cell r="AQ728" t="str">
            <v/>
          </cell>
          <cell r="AR728" t="str">
            <v>標準活性汚泥法</v>
          </cell>
          <cell r="AS728" t="str">
            <v>1500281001</v>
          </cell>
          <cell r="AT728" t="str">
            <v/>
          </cell>
          <cell r="AU728" t="str">
            <v>10</v>
          </cell>
          <cell r="AV728" t="str">
            <v>10</v>
          </cell>
          <cell r="AW728">
            <v>0</v>
          </cell>
          <cell r="AX728">
            <v>0</v>
          </cell>
          <cell r="AY728">
            <v>0</v>
          </cell>
          <cell r="AZ728">
            <v>0</v>
          </cell>
          <cell r="BA728">
            <v>0</v>
          </cell>
          <cell r="BD728" t="str">
            <v/>
          </cell>
          <cell r="BE728">
            <v>1</v>
          </cell>
          <cell r="BG728" t="str">
            <v>1100</v>
          </cell>
        </row>
        <row r="729">
          <cell r="B729" t="str">
            <v>G150028106100200</v>
          </cell>
          <cell r="C729" t="str">
            <v>15.新潟県</v>
          </cell>
          <cell r="D729" t="str">
            <v>002</v>
          </cell>
          <cell r="E729" t="str">
            <v>魚野川流域</v>
          </cell>
          <cell r="F729" t="str">
            <v>81</v>
          </cell>
          <cell r="G729" t="str">
            <v>流域</v>
          </cell>
          <cell r="H729" t="str">
            <v>流域下水道</v>
          </cell>
          <cell r="I729" t="str">
            <v/>
          </cell>
          <cell r="J729" t="str">
            <v>002</v>
          </cell>
          <cell r="K729" t="str">
            <v>堀之内浄化センター</v>
          </cell>
          <cell r="M729" t="str">
            <v>1</v>
          </cell>
          <cell r="N729" t="str">
            <v>1</v>
          </cell>
          <cell r="O729" t="str">
            <v>1</v>
          </cell>
          <cell r="Q729">
            <v>33817</v>
          </cell>
          <cell r="R729" t="str">
            <v>平成</v>
          </cell>
          <cell r="S729">
            <v>4</v>
          </cell>
          <cell r="T729">
            <v>8</v>
          </cell>
          <cell r="AB729">
            <v>33000</v>
          </cell>
          <cell r="AC729" t="str">
            <v>魚野川</v>
          </cell>
          <cell r="AD729" t="str">
            <v>Ａ</v>
          </cell>
          <cell r="AE729" t="str">
            <v>イ</v>
          </cell>
          <cell r="AF729">
            <v>15</v>
          </cell>
          <cell r="AK729" t="str">
            <v>魚野川</v>
          </cell>
          <cell r="AL729" t="str">
            <v>中央簡易水道</v>
          </cell>
          <cell r="AN729">
            <v>4.7</v>
          </cell>
          <cell r="AO729" t="str">
            <v>長岡市</v>
          </cell>
          <cell r="AQ729" t="str">
            <v/>
          </cell>
          <cell r="AR729" t="str">
            <v>標準活性汚泥法</v>
          </cell>
          <cell r="AS729" t="str">
            <v>1500281002</v>
          </cell>
          <cell r="AT729" t="str">
            <v/>
          </cell>
          <cell r="AU729" t="str">
            <v>11</v>
          </cell>
          <cell r="AV729" t="str">
            <v>11</v>
          </cell>
          <cell r="AW729">
            <v>0</v>
          </cell>
          <cell r="AX729">
            <v>0</v>
          </cell>
          <cell r="AY729">
            <v>0</v>
          </cell>
          <cell r="AZ729">
            <v>0</v>
          </cell>
          <cell r="BA729">
            <v>0</v>
          </cell>
          <cell r="BD729" t="str">
            <v/>
          </cell>
          <cell r="BE729">
            <v>1</v>
          </cell>
          <cell r="BG729" t="str">
            <v>1110</v>
          </cell>
        </row>
        <row r="730">
          <cell r="B730" t="str">
            <v>G150038106100100</v>
          </cell>
          <cell r="C730" t="str">
            <v>15.新潟県</v>
          </cell>
          <cell r="D730" t="str">
            <v>003</v>
          </cell>
          <cell r="E730" t="str">
            <v>国府川流域</v>
          </cell>
          <cell r="F730" t="str">
            <v>81</v>
          </cell>
          <cell r="G730" t="str">
            <v>流域</v>
          </cell>
          <cell r="H730" t="str">
            <v>流域下水道</v>
          </cell>
          <cell r="I730" t="str">
            <v/>
          </cell>
          <cell r="J730" t="str">
            <v>001</v>
          </cell>
          <cell r="K730" t="str">
            <v>国府川浄化センター</v>
          </cell>
          <cell r="M730" t="str">
            <v>1</v>
          </cell>
          <cell r="N730" t="str">
            <v>1</v>
          </cell>
          <cell r="P730" t="str">
            <v>1</v>
          </cell>
          <cell r="Q730">
            <v>34881</v>
          </cell>
          <cell r="R730" t="str">
            <v>平成</v>
          </cell>
          <cell r="S730">
            <v>7</v>
          </cell>
          <cell r="T730">
            <v>7</v>
          </cell>
          <cell r="AB730">
            <v>30100</v>
          </cell>
          <cell r="AC730" t="str">
            <v>国府川</v>
          </cell>
          <cell r="AD730" t="str">
            <v>Ｂ</v>
          </cell>
          <cell r="AF730">
            <v>15</v>
          </cell>
          <cell r="AJ730" t="str">
            <v>国府川</v>
          </cell>
          <cell r="AL730" t="str">
            <v>新穂川ダム</v>
          </cell>
          <cell r="AM730">
            <v>19.8</v>
          </cell>
          <cell r="AO730" t="str">
            <v>佐渡市</v>
          </cell>
          <cell r="AQ730" t="str">
            <v/>
          </cell>
          <cell r="AR730" t="str">
            <v>標準活性汚泥法</v>
          </cell>
          <cell r="AS730" t="str">
            <v>1500381001</v>
          </cell>
          <cell r="AT730" t="str">
            <v/>
          </cell>
          <cell r="AU730" t="str">
            <v>10</v>
          </cell>
          <cell r="AV730" t="str">
            <v>10</v>
          </cell>
          <cell r="AW730">
            <v>1</v>
          </cell>
          <cell r="AX730">
            <v>0</v>
          </cell>
          <cell r="AY730">
            <v>0</v>
          </cell>
          <cell r="AZ730">
            <v>0</v>
          </cell>
          <cell r="BA730">
            <v>0</v>
          </cell>
          <cell r="BD730" t="str">
            <v/>
          </cell>
          <cell r="BE730">
            <v>1</v>
          </cell>
          <cell r="BG730" t="str">
            <v>1101</v>
          </cell>
        </row>
        <row r="731">
          <cell r="B731" t="str">
            <v>G150048106100100</v>
          </cell>
          <cell r="C731" t="str">
            <v>15.新潟県</v>
          </cell>
          <cell r="D731" t="str">
            <v>004</v>
          </cell>
          <cell r="E731" t="str">
            <v>阿賀野川流域</v>
          </cell>
          <cell r="F731" t="str">
            <v>81</v>
          </cell>
          <cell r="G731" t="str">
            <v>流域</v>
          </cell>
          <cell r="H731" t="str">
            <v>流域下水道</v>
          </cell>
          <cell r="I731" t="str">
            <v/>
          </cell>
          <cell r="J731" t="str">
            <v>001</v>
          </cell>
          <cell r="K731" t="str">
            <v>新井郷川浄化センター</v>
          </cell>
          <cell r="M731" t="str">
            <v>1</v>
          </cell>
          <cell r="N731" t="str">
            <v>1</v>
          </cell>
          <cell r="Q731">
            <v>35855</v>
          </cell>
          <cell r="R731" t="str">
            <v>平成</v>
          </cell>
          <cell r="S731">
            <v>10</v>
          </cell>
          <cell r="T731">
            <v>3</v>
          </cell>
          <cell r="AB731">
            <v>126500</v>
          </cell>
          <cell r="AC731" t="str">
            <v>新井郷川</v>
          </cell>
          <cell r="AD731" t="str">
            <v>Ｂ</v>
          </cell>
          <cell r="AE731" t="str">
            <v>イ</v>
          </cell>
          <cell r="AF731">
            <v>15</v>
          </cell>
          <cell r="AK731" t="str">
            <v>新井郷川</v>
          </cell>
          <cell r="AQ731" t="str">
            <v/>
          </cell>
          <cell r="AR731" t="str">
            <v>標準活性汚泥法</v>
          </cell>
          <cell r="AS731" t="str">
            <v>1500481001</v>
          </cell>
          <cell r="AT731" t="str">
            <v/>
          </cell>
          <cell r="AU731" t="str">
            <v>10</v>
          </cell>
          <cell r="AV731" t="str">
            <v>10</v>
          </cell>
          <cell r="AW731">
            <v>0</v>
          </cell>
          <cell r="AX731">
            <v>0</v>
          </cell>
          <cell r="AY731">
            <v>0</v>
          </cell>
          <cell r="AZ731">
            <v>0</v>
          </cell>
          <cell r="BA731">
            <v>0</v>
          </cell>
          <cell r="BD731" t="str">
            <v/>
          </cell>
          <cell r="BE731">
            <v>1</v>
          </cell>
          <cell r="BG731" t="str">
            <v>1100</v>
          </cell>
        </row>
        <row r="732">
          <cell r="B732" t="str">
            <v>G150058106100100</v>
          </cell>
          <cell r="C732" t="str">
            <v>15.新潟県</v>
          </cell>
          <cell r="D732" t="str">
            <v>005</v>
          </cell>
          <cell r="E732" t="str">
            <v>西川流域</v>
          </cell>
          <cell r="F732" t="str">
            <v>81</v>
          </cell>
          <cell r="G732" t="str">
            <v>流域</v>
          </cell>
          <cell r="H732" t="str">
            <v>流域下水道</v>
          </cell>
          <cell r="I732" t="str">
            <v/>
          </cell>
          <cell r="J732" t="str">
            <v>001</v>
          </cell>
          <cell r="K732" t="str">
            <v>西川浄化センター</v>
          </cell>
          <cell r="M732" t="str">
            <v>1</v>
          </cell>
          <cell r="N732" t="str">
            <v>1</v>
          </cell>
          <cell r="Q732">
            <v>37500</v>
          </cell>
          <cell r="R732" t="str">
            <v>平成</v>
          </cell>
          <cell r="S732">
            <v>14</v>
          </cell>
          <cell r="T732">
            <v>9</v>
          </cell>
          <cell r="AB732">
            <v>144700</v>
          </cell>
          <cell r="AC732" t="str">
            <v>新川</v>
          </cell>
          <cell r="AD732" t="str">
            <v>Ｃ</v>
          </cell>
          <cell r="AE732" t="str">
            <v>ロ</v>
          </cell>
          <cell r="AF732">
            <v>15</v>
          </cell>
          <cell r="AJ732" t="str">
            <v>新川</v>
          </cell>
          <cell r="AQ732" t="str">
            <v/>
          </cell>
          <cell r="AR732" t="str">
            <v>標準活性汚泥法</v>
          </cell>
          <cell r="AS732" t="str">
            <v>1500581001</v>
          </cell>
          <cell r="AT732" t="str">
            <v/>
          </cell>
          <cell r="AU732" t="str">
            <v>10</v>
          </cell>
          <cell r="AV732" t="str">
            <v>10</v>
          </cell>
          <cell r="AW732">
            <v>0</v>
          </cell>
          <cell r="AX732">
            <v>0</v>
          </cell>
          <cell r="AY732">
            <v>0</v>
          </cell>
          <cell r="AZ732">
            <v>0</v>
          </cell>
          <cell r="BA732">
            <v>0</v>
          </cell>
          <cell r="BD732" t="str">
            <v/>
          </cell>
          <cell r="BE732">
            <v>1</v>
          </cell>
          <cell r="BG732" t="str">
            <v>1100</v>
          </cell>
        </row>
        <row r="733">
          <cell r="B733" t="str">
            <v>G151000106100100</v>
          </cell>
          <cell r="C733" t="str">
            <v>15.新潟県</v>
          </cell>
          <cell r="D733" t="str">
            <v>100</v>
          </cell>
          <cell r="E733" t="str">
            <v>新潟市</v>
          </cell>
          <cell r="F733" t="str">
            <v>01</v>
          </cell>
          <cell r="G733" t="str">
            <v>公共 単独</v>
          </cell>
          <cell r="H733" t="str">
            <v>公共下水道</v>
          </cell>
          <cell r="I733" t="str">
            <v>単独</v>
          </cell>
          <cell r="J733" t="str">
            <v>001</v>
          </cell>
          <cell r="K733" t="str">
            <v>船見下水処理場</v>
          </cell>
          <cell r="M733" t="str">
            <v>1</v>
          </cell>
          <cell r="N733" t="str">
            <v>1</v>
          </cell>
          <cell r="Q733">
            <v>24563</v>
          </cell>
          <cell r="R733" t="str">
            <v>昭和</v>
          </cell>
          <cell r="S733">
            <v>42</v>
          </cell>
          <cell r="T733">
            <v>4</v>
          </cell>
          <cell r="AB733">
            <v>19345.669999999998</v>
          </cell>
          <cell r="AC733" t="str">
            <v>信濃川下流</v>
          </cell>
          <cell r="AD733" t="str">
            <v>Ａ</v>
          </cell>
          <cell r="AF733">
            <v>15</v>
          </cell>
          <cell r="AK733" t="str">
            <v>信濃川下流</v>
          </cell>
          <cell r="AL733" t="str">
            <v>新潟市上下水道取水塔</v>
          </cell>
          <cell r="AM733">
            <v>6.8</v>
          </cell>
          <cell r="AO733" t="str">
            <v>新潟市</v>
          </cell>
          <cell r="AQ733" t="str">
            <v/>
          </cell>
          <cell r="AR733" t="str">
            <v>標準活性汚泥法</v>
          </cell>
          <cell r="AS733" t="str">
            <v>1510001001</v>
          </cell>
          <cell r="AT733" t="str">
            <v/>
          </cell>
          <cell r="AU733" t="str">
            <v>10</v>
          </cell>
          <cell r="AV733" t="str">
            <v>10</v>
          </cell>
          <cell r="AW733">
            <v>0</v>
          </cell>
          <cell r="AX733">
            <v>0</v>
          </cell>
          <cell r="AY733">
            <v>0</v>
          </cell>
          <cell r="AZ733">
            <v>0</v>
          </cell>
          <cell r="BA733">
            <v>0</v>
          </cell>
          <cell r="BD733" t="str">
            <v/>
          </cell>
          <cell r="BE733">
            <v>1</v>
          </cell>
          <cell r="BG733" t="str">
            <v>1100</v>
          </cell>
        </row>
        <row r="734">
          <cell r="B734" t="str">
            <v>G151000106100200</v>
          </cell>
          <cell r="C734" t="str">
            <v>15.新潟県</v>
          </cell>
          <cell r="D734" t="str">
            <v>100</v>
          </cell>
          <cell r="E734" t="str">
            <v>新潟市</v>
          </cell>
          <cell r="F734" t="str">
            <v>01</v>
          </cell>
          <cell r="G734" t="str">
            <v>公共 単独</v>
          </cell>
          <cell r="H734" t="str">
            <v>公共下水道</v>
          </cell>
          <cell r="I734" t="str">
            <v>単独</v>
          </cell>
          <cell r="J734" t="str">
            <v>002</v>
          </cell>
          <cell r="K734" t="str">
            <v>中部下水処理場</v>
          </cell>
          <cell r="M734" t="str">
            <v>1</v>
          </cell>
          <cell r="N734" t="str">
            <v>1</v>
          </cell>
          <cell r="O734" t="str">
            <v>1</v>
          </cell>
          <cell r="Q734">
            <v>29403</v>
          </cell>
          <cell r="R734" t="str">
            <v>昭和</v>
          </cell>
          <cell r="S734">
            <v>55</v>
          </cell>
          <cell r="T734">
            <v>7</v>
          </cell>
          <cell r="AB734">
            <v>175100</v>
          </cell>
          <cell r="AC734" t="str">
            <v>信濃川下流</v>
          </cell>
          <cell r="AD734" t="str">
            <v>Ａ</v>
          </cell>
          <cell r="AE734" t="str">
            <v>イ</v>
          </cell>
          <cell r="AF734">
            <v>15</v>
          </cell>
          <cell r="AK734" t="str">
            <v>信濃川下流</v>
          </cell>
          <cell r="AL734" t="str">
            <v>新潟市上水道取水塔</v>
          </cell>
          <cell r="AM734">
            <v>0.7</v>
          </cell>
          <cell r="AO734" t="str">
            <v>新潟市</v>
          </cell>
          <cell r="AQ734" t="str">
            <v/>
          </cell>
          <cell r="AR734" t="str">
            <v>標準活性汚泥法</v>
          </cell>
          <cell r="AS734" t="str">
            <v>1510001002</v>
          </cell>
          <cell r="AT734" t="str">
            <v/>
          </cell>
          <cell r="AU734" t="str">
            <v>11</v>
          </cell>
          <cell r="AV734" t="str">
            <v>11</v>
          </cell>
          <cell r="AW734">
            <v>0</v>
          </cell>
          <cell r="AX734">
            <v>0</v>
          </cell>
          <cell r="AY734">
            <v>0</v>
          </cell>
          <cell r="AZ734">
            <v>0</v>
          </cell>
          <cell r="BA734">
            <v>0</v>
          </cell>
          <cell r="BD734" t="str">
            <v/>
          </cell>
          <cell r="BE734">
            <v>1</v>
          </cell>
          <cell r="BG734" t="str">
            <v>1110</v>
          </cell>
        </row>
        <row r="735">
          <cell r="B735" t="str">
            <v>G151000106100300</v>
          </cell>
          <cell r="C735" t="str">
            <v>15.新潟県</v>
          </cell>
          <cell r="D735" t="str">
            <v>100</v>
          </cell>
          <cell r="E735" t="str">
            <v>新潟市</v>
          </cell>
          <cell r="F735" t="str">
            <v>01</v>
          </cell>
          <cell r="G735" t="str">
            <v>公共 単独</v>
          </cell>
          <cell r="H735" t="str">
            <v>公共下水道</v>
          </cell>
          <cell r="I735" t="str">
            <v>単独</v>
          </cell>
          <cell r="J735" t="str">
            <v>003</v>
          </cell>
          <cell r="K735" t="str">
            <v>白根中央浄化センター</v>
          </cell>
          <cell r="M735" t="str">
            <v>1</v>
          </cell>
          <cell r="N735" t="str">
            <v>1</v>
          </cell>
          <cell r="Q735">
            <v>38047</v>
          </cell>
          <cell r="R735" t="str">
            <v>平成</v>
          </cell>
          <cell r="S735">
            <v>16</v>
          </cell>
          <cell r="T735">
            <v>3</v>
          </cell>
          <cell r="AB735">
            <v>47739</v>
          </cell>
          <cell r="AC735" t="str">
            <v>中ノ口川</v>
          </cell>
          <cell r="AD735" t="str">
            <v>Ａ</v>
          </cell>
          <cell r="AE735" t="str">
            <v>ロ</v>
          </cell>
          <cell r="AK735" t="str">
            <v>鷲ノ木大通川</v>
          </cell>
          <cell r="AL735" t="str">
            <v>信濃川取水場</v>
          </cell>
          <cell r="AM735">
            <v>0</v>
          </cell>
          <cell r="AN735">
            <v>9</v>
          </cell>
          <cell r="AO735" t="str">
            <v>新潟市</v>
          </cell>
          <cell r="AQ735" t="str">
            <v/>
          </cell>
          <cell r="AR735" t="str">
            <v>標準活性汚泥法</v>
          </cell>
          <cell r="AS735" t="str">
            <v>1510001003</v>
          </cell>
          <cell r="AT735" t="str">
            <v/>
          </cell>
          <cell r="AU735" t="str">
            <v>10</v>
          </cell>
          <cell r="AV735" t="str">
            <v>10</v>
          </cell>
          <cell r="AW735">
            <v>0</v>
          </cell>
          <cell r="AX735">
            <v>0</v>
          </cell>
          <cell r="AY735">
            <v>0</v>
          </cell>
          <cell r="AZ735">
            <v>0</v>
          </cell>
          <cell r="BA735">
            <v>0</v>
          </cell>
          <cell r="BD735" t="str">
            <v/>
          </cell>
          <cell r="BE735">
            <v>1</v>
          </cell>
          <cell r="BG735" t="str">
            <v>1100</v>
          </cell>
        </row>
        <row r="736">
          <cell r="B736" t="str">
            <v>G151000206100400</v>
          </cell>
          <cell r="C736" t="str">
            <v>15.新潟県</v>
          </cell>
          <cell r="D736" t="str">
            <v>100</v>
          </cell>
          <cell r="E736" t="str">
            <v>新潟市</v>
          </cell>
          <cell r="F736" t="str">
            <v>02</v>
          </cell>
          <cell r="G736" t="str">
            <v>特環 単独</v>
          </cell>
          <cell r="H736" t="str">
            <v>特定環境保全公共下水道</v>
          </cell>
          <cell r="I736" t="str">
            <v>単独</v>
          </cell>
          <cell r="J736" t="str">
            <v>004</v>
          </cell>
          <cell r="K736" t="str">
            <v>島見浄化センター</v>
          </cell>
          <cell r="M736" t="str">
            <v>1</v>
          </cell>
          <cell r="N736" t="str">
            <v>1</v>
          </cell>
          <cell r="Q736">
            <v>33270</v>
          </cell>
          <cell r="R736" t="str">
            <v>平成</v>
          </cell>
          <cell r="S736">
            <v>3</v>
          </cell>
          <cell r="T736">
            <v>2</v>
          </cell>
          <cell r="AB736">
            <v>5806</v>
          </cell>
          <cell r="AC736" t="str">
            <v>新井郷川下流</v>
          </cell>
          <cell r="AD736" t="str">
            <v>Ｃ</v>
          </cell>
          <cell r="AE736" t="str">
            <v>ハ</v>
          </cell>
          <cell r="AF736">
            <v>20</v>
          </cell>
          <cell r="AK736" t="str">
            <v>派川加治川</v>
          </cell>
          <cell r="AQ736" t="str">
            <v/>
          </cell>
          <cell r="AR736" t="str">
            <v>オキシディションディッチ法</v>
          </cell>
          <cell r="AS736" t="str">
            <v>1510002004</v>
          </cell>
          <cell r="AT736" t="str">
            <v/>
          </cell>
          <cell r="AU736" t="str">
            <v>10</v>
          </cell>
          <cell r="AV736" t="str">
            <v>10</v>
          </cell>
          <cell r="AW736">
            <v>0</v>
          </cell>
          <cell r="AX736">
            <v>0</v>
          </cell>
          <cell r="AY736">
            <v>0</v>
          </cell>
          <cell r="AZ736">
            <v>0</v>
          </cell>
          <cell r="BA736">
            <v>0</v>
          </cell>
          <cell r="BD736" t="str">
            <v/>
          </cell>
          <cell r="BE736">
            <v>1</v>
          </cell>
          <cell r="BG736" t="str">
            <v>1100</v>
          </cell>
        </row>
        <row r="737">
          <cell r="B737" t="str">
            <v>G152020106100100</v>
          </cell>
          <cell r="C737" t="str">
            <v>15.新潟県</v>
          </cell>
          <cell r="D737" t="str">
            <v>202</v>
          </cell>
          <cell r="E737" t="str">
            <v>長岡市</v>
          </cell>
          <cell r="F737" t="str">
            <v>01</v>
          </cell>
          <cell r="G737" t="str">
            <v>公共 単独</v>
          </cell>
          <cell r="H737" t="str">
            <v>公共下水道</v>
          </cell>
          <cell r="I737" t="str">
            <v>単独</v>
          </cell>
          <cell r="J737" t="str">
            <v>001</v>
          </cell>
          <cell r="K737" t="str">
            <v>長岡中央浄化センター</v>
          </cell>
          <cell r="M737" t="str">
            <v>1</v>
          </cell>
          <cell r="N737" t="str">
            <v>1</v>
          </cell>
          <cell r="P737" t="str">
            <v>1</v>
          </cell>
          <cell r="Q737">
            <v>28004</v>
          </cell>
          <cell r="R737" t="str">
            <v>昭和</v>
          </cell>
          <cell r="S737">
            <v>51</v>
          </cell>
          <cell r="T737">
            <v>9</v>
          </cell>
          <cell r="AB737">
            <v>55210</v>
          </cell>
          <cell r="AC737" t="str">
            <v>信濃川中流域</v>
          </cell>
          <cell r="AD737" t="str">
            <v>Ａ</v>
          </cell>
          <cell r="AE737" t="str">
            <v>ロ</v>
          </cell>
          <cell r="AF737">
            <v>15</v>
          </cell>
          <cell r="AK737" t="str">
            <v>栖吉川</v>
          </cell>
          <cell r="AL737" t="str">
            <v>見附市上水道信濃川</v>
          </cell>
          <cell r="AN737">
            <v>3.7</v>
          </cell>
          <cell r="AO737" t="str">
            <v>見附市</v>
          </cell>
          <cell r="AQ737" t="str">
            <v/>
          </cell>
          <cell r="AR737" t="str">
            <v>標準活性汚泥法</v>
          </cell>
          <cell r="AS737" t="str">
            <v>1520201001</v>
          </cell>
          <cell r="AT737" t="str">
            <v/>
          </cell>
          <cell r="AU737" t="str">
            <v>10</v>
          </cell>
          <cell r="AV737" t="str">
            <v>10</v>
          </cell>
          <cell r="AW737">
            <v>1</v>
          </cell>
          <cell r="AX737">
            <v>0</v>
          </cell>
          <cell r="AY737">
            <v>0</v>
          </cell>
          <cell r="AZ737">
            <v>0</v>
          </cell>
          <cell r="BA737">
            <v>0</v>
          </cell>
          <cell r="BD737" t="str">
            <v/>
          </cell>
          <cell r="BE737">
            <v>1</v>
          </cell>
          <cell r="BG737" t="str">
            <v>1101</v>
          </cell>
        </row>
        <row r="738">
          <cell r="B738" t="str">
            <v>G152020106100200</v>
          </cell>
          <cell r="C738" t="str">
            <v>15.新潟県</v>
          </cell>
          <cell r="D738" t="str">
            <v>202</v>
          </cell>
          <cell r="E738" t="str">
            <v>長岡市</v>
          </cell>
          <cell r="F738" t="str">
            <v>01</v>
          </cell>
          <cell r="G738" t="str">
            <v>公共 単独</v>
          </cell>
          <cell r="H738" t="str">
            <v>公共下水道</v>
          </cell>
          <cell r="I738" t="str">
            <v>単独</v>
          </cell>
          <cell r="J738" t="str">
            <v>002</v>
          </cell>
          <cell r="K738" t="str">
            <v>栃尾下水処理センター</v>
          </cell>
          <cell r="M738" t="str">
            <v>1</v>
          </cell>
          <cell r="N738" t="str">
            <v>1</v>
          </cell>
          <cell r="Q738">
            <v>32021</v>
          </cell>
          <cell r="R738" t="str">
            <v>昭和</v>
          </cell>
          <cell r="S738">
            <v>62</v>
          </cell>
          <cell r="T738">
            <v>9</v>
          </cell>
          <cell r="AB738">
            <v>26600</v>
          </cell>
          <cell r="AC738" t="str">
            <v>刈谷田川</v>
          </cell>
          <cell r="AD738" t="str">
            <v>Ｂ</v>
          </cell>
          <cell r="AE738" t="str">
            <v>ロ</v>
          </cell>
          <cell r="AF738">
            <v>15</v>
          </cell>
          <cell r="AK738" t="str">
            <v>輪吾田川</v>
          </cell>
          <cell r="AN738">
            <v>10</v>
          </cell>
          <cell r="AO738" t="str">
            <v>見附市</v>
          </cell>
          <cell r="AP738" t="str">
            <v>特環公共関連分を含む</v>
          </cell>
          <cell r="AQ738" t="str">
            <v/>
          </cell>
          <cell r="AR738" t="str">
            <v>標準活性汚泥法</v>
          </cell>
          <cell r="AS738" t="str">
            <v>1520201002</v>
          </cell>
          <cell r="AT738" t="str">
            <v/>
          </cell>
          <cell r="AU738" t="str">
            <v>10</v>
          </cell>
          <cell r="AV738" t="str">
            <v>10</v>
          </cell>
          <cell r="AW738">
            <v>0</v>
          </cell>
          <cell r="AX738">
            <v>0</v>
          </cell>
          <cell r="AY738">
            <v>0</v>
          </cell>
          <cell r="AZ738">
            <v>0</v>
          </cell>
          <cell r="BA738">
            <v>0</v>
          </cell>
          <cell r="BD738" t="str">
            <v/>
          </cell>
          <cell r="BE738">
            <v>1</v>
          </cell>
          <cell r="BG738" t="str">
            <v>1100</v>
          </cell>
        </row>
        <row r="739">
          <cell r="B739" t="str">
            <v>G152020106100300</v>
          </cell>
          <cell r="C739" t="str">
            <v>15.新潟県</v>
          </cell>
          <cell r="D739" t="str">
            <v>202</v>
          </cell>
          <cell r="E739" t="str">
            <v>長岡市</v>
          </cell>
          <cell r="F739" t="str">
            <v>01</v>
          </cell>
          <cell r="G739" t="str">
            <v>公共 単独</v>
          </cell>
          <cell r="H739" t="str">
            <v>公共下水道</v>
          </cell>
          <cell r="I739" t="str">
            <v>単独</v>
          </cell>
          <cell r="J739" t="str">
            <v>003</v>
          </cell>
          <cell r="K739" t="str">
            <v>中之島浄化センター</v>
          </cell>
          <cell r="M739" t="str">
            <v>1</v>
          </cell>
          <cell r="N739" t="str">
            <v>1</v>
          </cell>
          <cell r="Q739">
            <v>35521</v>
          </cell>
          <cell r="R739" t="str">
            <v>平成</v>
          </cell>
          <cell r="S739">
            <v>9</v>
          </cell>
          <cell r="T739">
            <v>4</v>
          </cell>
          <cell r="AB739">
            <v>27100</v>
          </cell>
          <cell r="AC739" t="str">
            <v>信濃川水系</v>
          </cell>
          <cell r="AD739" t="str">
            <v>Ａ</v>
          </cell>
          <cell r="AE739" t="str">
            <v>ロ</v>
          </cell>
          <cell r="AF739">
            <v>15</v>
          </cell>
          <cell r="AI739" t="str">
            <v>第３承水溝</v>
          </cell>
          <cell r="AK739" t="str">
            <v>中之島川</v>
          </cell>
          <cell r="AL739" t="str">
            <v>大字尾崎取水口</v>
          </cell>
          <cell r="AN739">
            <v>7.7</v>
          </cell>
          <cell r="AO739" t="str">
            <v>三条市</v>
          </cell>
          <cell r="AP739" t="str">
            <v>特環公共関連分を含む</v>
          </cell>
          <cell r="AQ739" t="str">
            <v/>
          </cell>
          <cell r="AR739" t="str">
            <v>オキシディションディッチ法</v>
          </cell>
          <cell r="AS739" t="str">
            <v>1520201003</v>
          </cell>
          <cell r="AT739" t="str">
            <v/>
          </cell>
          <cell r="AU739" t="str">
            <v>10</v>
          </cell>
          <cell r="AV739" t="str">
            <v>10</v>
          </cell>
          <cell r="AW739">
            <v>0</v>
          </cell>
          <cell r="AX739">
            <v>0</v>
          </cell>
          <cell r="AY739">
            <v>0</v>
          </cell>
          <cell r="AZ739">
            <v>0</v>
          </cell>
          <cell r="BA739">
            <v>0</v>
          </cell>
          <cell r="BD739" t="str">
            <v/>
          </cell>
          <cell r="BE739">
            <v>1</v>
          </cell>
          <cell r="BG739" t="str">
            <v>1100</v>
          </cell>
        </row>
        <row r="740">
          <cell r="B740" t="str">
            <v>G152020206100400</v>
          </cell>
          <cell r="C740" t="str">
            <v>15.新潟県</v>
          </cell>
          <cell r="D740" t="str">
            <v>202</v>
          </cell>
          <cell r="E740" t="str">
            <v>長岡市</v>
          </cell>
          <cell r="F740" t="str">
            <v>02</v>
          </cell>
          <cell r="G740" t="str">
            <v>特環 単独</v>
          </cell>
          <cell r="H740" t="str">
            <v>特定環境保全公共下水道</v>
          </cell>
          <cell r="I740" t="str">
            <v>単独</v>
          </cell>
          <cell r="J740" t="str">
            <v>004</v>
          </cell>
          <cell r="K740" t="str">
            <v>前川浄化センター</v>
          </cell>
          <cell r="M740" t="str">
            <v>1</v>
          </cell>
          <cell r="P740" t="str">
            <v>1</v>
          </cell>
          <cell r="Q740">
            <v>32203</v>
          </cell>
          <cell r="R740" t="str">
            <v>昭和</v>
          </cell>
          <cell r="S740">
            <v>63</v>
          </cell>
          <cell r="T740">
            <v>3</v>
          </cell>
          <cell r="AB740">
            <v>1054</v>
          </cell>
          <cell r="AC740" t="str">
            <v>信濃川中流域</v>
          </cell>
          <cell r="AD740" t="str">
            <v>Ａ</v>
          </cell>
          <cell r="AE740" t="str">
            <v>ロ</v>
          </cell>
          <cell r="AF740">
            <v>20</v>
          </cell>
          <cell r="AI740" t="str">
            <v>古川排水路</v>
          </cell>
          <cell r="AK740" t="str">
            <v>信濃川</v>
          </cell>
          <cell r="AL740" t="str">
            <v>長岡市浄水場取水口</v>
          </cell>
          <cell r="AM740">
            <v>7.5</v>
          </cell>
          <cell r="AO740" t="str">
            <v>長岡市</v>
          </cell>
          <cell r="AQ740" t="str">
            <v/>
          </cell>
          <cell r="AR740" t="str">
            <v>回分式活性汚泥法</v>
          </cell>
          <cell r="AS740" t="str">
            <v>1520202004</v>
          </cell>
          <cell r="AT740" t="str">
            <v/>
          </cell>
          <cell r="AU740" t="str">
            <v>00</v>
          </cell>
          <cell r="AV740" t="str">
            <v>00</v>
          </cell>
          <cell r="AW740">
            <v>1</v>
          </cell>
          <cell r="AX740">
            <v>0</v>
          </cell>
          <cell r="AY740">
            <v>0</v>
          </cell>
          <cell r="AZ740">
            <v>0</v>
          </cell>
          <cell r="BA740">
            <v>0</v>
          </cell>
          <cell r="BB740" t="str">
            <v>濃縮貯留</v>
          </cell>
          <cell r="BD740" t="str">
            <v>濃縮貯留</v>
          </cell>
          <cell r="BE740">
            <v>1</v>
          </cell>
          <cell r="BG740" t="str">
            <v>1001</v>
          </cell>
        </row>
        <row r="741">
          <cell r="B741" t="str">
            <v>G152020206100500</v>
          </cell>
          <cell r="C741" t="str">
            <v>15.新潟県</v>
          </cell>
          <cell r="D741" t="str">
            <v>202</v>
          </cell>
          <cell r="E741" t="str">
            <v>長岡市</v>
          </cell>
          <cell r="F741" t="str">
            <v>02</v>
          </cell>
          <cell r="G741" t="str">
            <v>特環 単独</v>
          </cell>
          <cell r="H741" t="str">
            <v>特定環境保全公共下水道</v>
          </cell>
          <cell r="I741" t="str">
            <v>単独</v>
          </cell>
          <cell r="J741" t="str">
            <v>005</v>
          </cell>
          <cell r="K741" t="str">
            <v>和島浄水センター</v>
          </cell>
          <cell r="M741" t="str">
            <v>1</v>
          </cell>
          <cell r="N741" t="str">
            <v>1</v>
          </cell>
          <cell r="P741" t="str">
            <v>1</v>
          </cell>
          <cell r="Q741">
            <v>34151</v>
          </cell>
          <cell r="R741" t="str">
            <v>平成</v>
          </cell>
          <cell r="S741">
            <v>5</v>
          </cell>
          <cell r="T741">
            <v>7</v>
          </cell>
          <cell r="AB741">
            <v>3300</v>
          </cell>
          <cell r="AC741" t="str">
            <v>郷本川</v>
          </cell>
          <cell r="AD741" t="str">
            <v>Ｂ</v>
          </cell>
          <cell r="AE741" t="str">
            <v>イ</v>
          </cell>
          <cell r="AF741">
            <v>20</v>
          </cell>
          <cell r="AJ741" t="str">
            <v>郷本川</v>
          </cell>
          <cell r="AQ741" t="str">
            <v/>
          </cell>
          <cell r="AR741" t="str">
            <v>回分式活性汚泥法</v>
          </cell>
          <cell r="AS741" t="str">
            <v>1520202005</v>
          </cell>
          <cell r="AT741" t="str">
            <v/>
          </cell>
          <cell r="AU741" t="str">
            <v>10</v>
          </cell>
          <cell r="AV741" t="str">
            <v>10</v>
          </cell>
          <cell r="AW741">
            <v>1</v>
          </cell>
          <cell r="AX741">
            <v>0</v>
          </cell>
          <cell r="AY741">
            <v>0</v>
          </cell>
          <cell r="AZ741">
            <v>0</v>
          </cell>
          <cell r="BA741">
            <v>0</v>
          </cell>
          <cell r="BD741" t="str">
            <v/>
          </cell>
          <cell r="BE741">
            <v>1</v>
          </cell>
          <cell r="BG741" t="str">
            <v>1101</v>
          </cell>
        </row>
        <row r="742">
          <cell r="B742" t="str">
            <v>G152020206100600</v>
          </cell>
          <cell r="C742" t="str">
            <v>15.新潟県</v>
          </cell>
          <cell r="D742" t="str">
            <v>202</v>
          </cell>
          <cell r="E742" t="str">
            <v>長岡市</v>
          </cell>
          <cell r="F742" t="str">
            <v>02</v>
          </cell>
          <cell r="G742" t="str">
            <v>特環 単独</v>
          </cell>
          <cell r="H742" t="str">
            <v>特定環境保全公共下水道</v>
          </cell>
          <cell r="I742" t="str">
            <v>単独</v>
          </cell>
          <cell r="J742" t="str">
            <v>006</v>
          </cell>
          <cell r="K742" t="str">
            <v>小国浄化センター</v>
          </cell>
          <cell r="M742" t="str">
            <v>1</v>
          </cell>
          <cell r="N742" t="str">
            <v>1</v>
          </cell>
          <cell r="O742" t="str">
            <v>1</v>
          </cell>
          <cell r="Q742">
            <v>34516</v>
          </cell>
          <cell r="R742" t="str">
            <v>平成</v>
          </cell>
          <cell r="S742">
            <v>6</v>
          </cell>
          <cell r="T742">
            <v>7</v>
          </cell>
          <cell r="AB742">
            <v>10300</v>
          </cell>
          <cell r="AC742" t="str">
            <v>渋海川</v>
          </cell>
          <cell r="AD742" t="str">
            <v>Ａ</v>
          </cell>
          <cell r="AE742" t="str">
            <v>イ</v>
          </cell>
          <cell r="AF742">
            <v>20</v>
          </cell>
          <cell r="AK742" t="str">
            <v>桐沢川</v>
          </cell>
          <cell r="AL742" t="str">
            <v>不動沢</v>
          </cell>
          <cell r="AN742">
            <v>8.6999999999999993</v>
          </cell>
          <cell r="AO742" t="str">
            <v>長岡市</v>
          </cell>
          <cell r="AQ742" t="str">
            <v/>
          </cell>
          <cell r="AR742" t="str">
            <v>オキシディションディッチ法</v>
          </cell>
          <cell r="AS742" t="str">
            <v>1520202006</v>
          </cell>
          <cell r="AT742" t="str">
            <v/>
          </cell>
          <cell r="AU742" t="str">
            <v>11</v>
          </cell>
          <cell r="AV742" t="str">
            <v>10</v>
          </cell>
          <cell r="AW742">
            <v>0</v>
          </cell>
          <cell r="AX742">
            <v>0</v>
          </cell>
          <cell r="AY742">
            <v>-1</v>
          </cell>
          <cell r="AZ742">
            <v>0</v>
          </cell>
          <cell r="BA742">
            <v>1</v>
          </cell>
          <cell r="BC742" t="str">
            <v>コンポスト休止</v>
          </cell>
          <cell r="BD742" t="str">
            <v>コンポスト休止</v>
          </cell>
          <cell r="BE742">
            <v>1</v>
          </cell>
          <cell r="BG742" t="str">
            <v>1110</v>
          </cell>
        </row>
        <row r="743">
          <cell r="B743" t="str">
            <v>G152020206100700</v>
          </cell>
          <cell r="C743" t="str">
            <v>15.新潟県</v>
          </cell>
          <cell r="D743" t="str">
            <v>202</v>
          </cell>
          <cell r="E743" t="str">
            <v>長岡市</v>
          </cell>
          <cell r="F743" t="str">
            <v>02</v>
          </cell>
          <cell r="G743" t="str">
            <v>特環 単独</v>
          </cell>
          <cell r="H743" t="str">
            <v>特定環境保全公共下水道</v>
          </cell>
          <cell r="I743" t="str">
            <v>単独</v>
          </cell>
          <cell r="J743" t="str">
            <v>007</v>
          </cell>
          <cell r="K743" t="str">
            <v>寺泊浄化センター</v>
          </cell>
          <cell r="M743" t="str">
            <v>1</v>
          </cell>
          <cell r="N743" t="str">
            <v>1</v>
          </cell>
          <cell r="P743" t="str">
            <v>1</v>
          </cell>
          <cell r="Q743">
            <v>37712</v>
          </cell>
          <cell r="R743" t="str">
            <v>平成</v>
          </cell>
          <cell r="S743">
            <v>15</v>
          </cell>
          <cell r="T743">
            <v>4</v>
          </cell>
          <cell r="AB743">
            <v>13800</v>
          </cell>
          <cell r="AF743">
            <v>15</v>
          </cell>
          <cell r="AI743" t="str">
            <v>小屋場川</v>
          </cell>
          <cell r="AQ743" t="str">
            <v/>
          </cell>
          <cell r="AR743" t="str">
            <v>オキシディションディッチ法</v>
          </cell>
          <cell r="AS743" t="str">
            <v>1520202007</v>
          </cell>
          <cell r="AT743" t="str">
            <v/>
          </cell>
          <cell r="AU743" t="str">
            <v>10</v>
          </cell>
          <cell r="AV743" t="str">
            <v>10</v>
          </cell>
          <cell r="AW743">
            <v>1</v>
          </cell>
          <cell r="AX743">
            <v>0</v>
          </cell>
          <cell r="AY743">
            <v>0</v>
          </cell>
          <cell r="AZ743">
            <v>0</v>
          </cell>
          <cell r="BA743">
            <v>0</v>
          </cell>
          <cell r="BD743" t="str">
            <v/>
          </cell>
          <cell r="BE743">
            <v>1</v>
          </cell>
          <cell r="BG743" t="str">
            <v>1101</v>
          </cell>
        </row>
        <row r="744">
          <cell r="B744" t="str">
            <v>G152040106100100</v>
          </cell>
          <cell r="C744" t="str">
            <v>15.新潟県</v>
          </cell>
          <cell r="D744" t="str">
            <v>204</v>
          </cell>
          <cell r="E744" t="str">
            <v>三条市</v>
          </cell>
          <cell r="F744" t="str">
            <v>01</v>
          </cell>
          <cell r="G744" t="str">
            <v>公共 単独</v>
          </cell>
          <cell r="H744" t="str">
            <v>公共下水道</v>
          </cell>
          <cell r="I744" t="str">
            <v>単独</v>
          </cell>
          <cell r="J744" t="str">
            <v>001</v>
          </cell>
          <cell r="K744" t="str">
            <v>三条下水処理センター</v>
          </cell>
          <cell r="M744" t="str">
            <v>1</v>
          </cell>
          <cell r="N744" t="str">
            <v>1</v>
          </cell>
          <cell r="Q744">
            <v>34731</v>
          </cell>
          <cell r="R744" t="str">
            <v>平成</v>
          </cell>
          <cell r="S744">
            <v>7</v>
          </cell>
          <cell r="T744">
            <v>2</v>
          </cell>
          <cell r="AB744">
            <v>92600</v>
          </cell>
          <cell r="AC744" t="str">
            <v>信濃川下流</v>
          </cell>
          <cell r="AD744" t="str">
            <v>Ａ</v>
          </cell>
          <cell r="AE744" t="str">
            <v>ロ</v>
          </cell>
          <cell r="AF744">
            <v>15</v>
          </cell>
          <cell r="AK744" t="str">
            <v>信濃川</v>
          </cell>
          <cell r="AL744" t="str">
            <v>加茂市上水道</v>
          </cell>
          <cell r="AN744">
            <v>3.4</v>
          </cell>
          <cell r="AO744" t="str">
            <v>加茂市</v>
          </cell>
          <cell r="AQ744" t="str">
            <v/>
          </cell>
          <cell r="AR744" t="str">
            <v>標準活性汚泥法</v>
          </cell>
          <cell r="AS744" t="str">
            <v>1520401001</v>
          </cell>
          <cell r="AT744" t="str">
            <v/>
          </cell>
          <cell r="AU744" t="str">
            <v>10</v>
          </cell>
          <cell r="AV744" t="str">
            <v>10</v>
          </cell>
          <cell r="AW744">
            <v>0</v>
          </cell>
          <cell r="AX744">
            <v>0</v>
          </cell>
          <cell r="AY744">
            <v>0</v>
          </cell>
          <cell r="AZ744">
            <v>0</v>
          </cell>
          <cell r="BA744">
            <v>0</v>
          </cell>
          <cell r="BD744" t="str">
            <v/>
          </cell>
          <cell r="BE744">
            <v>1</v>
          </cell>
          <cell r="BG744" t="str">
            <v>1100</v>
          </cell>
        </row>
        <row r="745">
          <cell r="B745" t="str">
            <v>G152040206100200</v>
          </cell>
          <cell r="C745" t="str">
            <v>15.新潟県</v>
          </cell>
          <cell r="D745" t="str">
            <v>204</v>
          </cell>
          <cell r="E745" t="str">
            <v>三条市</v>
          </cell>
          <cell r="F745" t="str">
            <v>02</v>
          </cell>
          <cell r="G745" t="str">
            <v>特環 単独</v>
          </cell>
          <cell r="H745" t="str">
            <v>特定環境保全公共下水道</v>
          </cell>
          <cell r="I745" t="str">
            <v>単独</v>
          </cell>
          <cell r="J745" t="str">
            <v>002</v>
          </cell>
          <cell r="K745" t="str">
            <v>下田下水処理センター</v>
          </cell>
          <cell r="M745" t="str">
            <v>1</v>
          </cell>
          <cell r="N745" t="str">
            <v>1</v>
          </cell>
          <cell r="Q745">
            <v>36586</v>
          </cell>
          <cell r="R745" t="str">
            <v>平成</v>
          </cell>
          <cell r="S745">
            <v>12</v>
          </cell>
          <cell r="T745">
            <v>3</v>
          </cell>
          <cell r="U745" t="str">
            <v>名称変更</v>
          </cell>
          <cell r="V745">
            <v>38473</v>
          </cell>
          <cell r="W745" t="str">
            <v>平成</v>
          </cell>
          <cell r="X745">
            <v>17</v>
          </cell>
          <cell r="Y745">
            <v>5</v>
          </cell>
          <cell r="Z745" t="str">
            <v>しただ浄化センター</v>
          </cell>
          <cell r="AA745" t="str">
            <v>下田村特定環境保全公共下水道</v>
          </cell>
          <cell r="AB745">
            <v>18400</v>
          </cell>
          <cell r="AC745" t="str">
            <v>五十嵐川</v>
          </cell>
          <cell r="AD745" t="str">
            <v>Ａ</v>
          </cell>
          <cell r="AE745" t="str">
            <v>イ</v>
          </cell>
          <cell r="AF745">
            <v>15</v>
          </cell>
          <cell r="AK745" t="str">
            <v>五十嵐川</v>
          </cell>
          <cell r="AL745" t="str">
            <v>加茂市上水道</v>
          </cell>
          <cell r="AN745">
            <v>20</v>
          </cell>
          <cell r="AO745" t="str">
            <v>加茂市</v>
          </cell>
          <cell r="AQ745" t="str">
            <v/>
          </cell>
          <cell r="AR745" t="str">
            <v>オキシディションディッチ法</v>
          </cell>
          <cell r="AS745" t="str">
            <v>1520402002</v>
          </cell>
          <cell r="AT745" t="str">
            <v/>
          </cell>
          <cell r="AU745" t="str">
            <v>10</v>
          </cell>
          <cell r="AV745" t="str">
            <v>10</v>
          </cell>
          <cell r="AW745">
            <v>0</v>
          </cell>
          <cell r="AX745">
            <v>0</v>
          </cell>
          <cell r="AY745">
            <v>0</v>
          </cell>
          <cell r="AZ745">
            <v>0</v>
          </cell>
          <cell r="BA745">
            <v>0</v>
          </cell>
          <cell r="BD745" t="str">
            <v/>
          </cell>
          <cell r="BE745">
            <v>1</v>
          </cell>
          <cell r="BG745" t="str">
            <v>1100</v>
          </cell>
        </row>
        <row r="746">
          <cell r="B746" t="str">
            <v>G152040206100300</v>
          </cell>
          <cell r="C746" t="str">
            <v>15.新潟県</v>
          </cell>
          <cell r="D746" t="str">
            <v>204</v>
          </cell>
          <cell r="E746" t="str">
            <v>三条市</v>
          </cell>
          <cell r="F746" t="str">
            <v>02</v>
          </cell>
          <cell r="G746" t="str">
            <v>特環 単独</v>
          </cell>
          <cell r="H746" t="str">
            <v>特定環境保全公共下水道</v>
          </cell>
          <cell r="I746" t="str">
            <v>単独</v>
          </cell>
          <cell r="J746" t="str">
            <v>003</v>
          </cell>
          <cell r="K746" t="str">
            <v>栄下水処理センター</v>
          </cell>
          <cell r="M746" t="str">
            <v>1</v>
          </cell>
          <cell r="N746" t="str">
            <v>1</v>
          </cell>
          <cell r="Q746">
            <v>36951</v>
          </cell>
          <cell r="R746" t="str">
            <v>平成</v>
          </cell>
          <cell r="S746">
            <v>13</v>
          </cell>
          <cell r="T746">
            <v>3</v>
          </cell>
          <cell r="U746" t="str">
            <v>名称変更</v>
          </cell>
          <cell r="V746">
            <v>38473</v>
          </cell>
          <cell r="W746" t="str">
            <v>平成</v>
          </cell>
          <cell r="X746">
            <v>17</v>
          </cell>
          <cell r="Y746">
            <v>5</v>
          </cell>
          <cell r="Z746" t="str">
            <v>栄浄化センター</v>
          </cell>
          <cell r="AA746" t="str">
            <v>栄町特定環境保全公共下水道</v>
          </cell>
          <cell r="AB746">
            <v>20000</v>
          </cell>
          <cell r="AC746" t="str">
            <v>信濃川下流</v>
          </cell>
          <cell r="AD746" t="str">
            <v>Ａ</v>
          </cell>
          <cell r="AE746" t="str">
            <v>ロ</v>
          </cell>
          <cell r="AF746">
            <v>15</v>
          </cell>
          <cell r="AI746" t="str">
            <v>農業排水路(貝喰川)</v>
          </cell>
          <cell r="AL746" t="str">
            <v>加茂市上水道</v>
          </cell>
          <cell r="AN746">
            <v>12</v>
          </cell>
          <cell r="AO746" t="str">
            <v>加茂市</v>
          </cell>
          <cell r="AQ746" t="str">
            <v/>
          </cell>
          <cell r="AR746" t="str">
            <v>オキシディションディッチ法</v>
          </cell>
          <cell r="AS746" t="str">
            <v>1520402003</v>
          </cell>
          <cell r="AT746" t="str">
            <v/>
          </cell>
          <cell r="AU746" t="str">
            <v>10</v>
          </cell>
          <cell r="AV746" t="str">
            <v>10</v>
          </cell>
          <cell r="AW746">
            <v>0</v>
          </cell>
          <cell r="AX746">
            <v>0</v>
          </cell>
          <cell r="AY746">
            <v>0</v>
          </cell>
          <cell r="AZ746">
            <v>0</v>
          </cell>
          <cell r="BA746">
            <v>0</v>
          </cell>
          <cell r="BD746" t="str">
            <v/>
          </cell>
          <cell r="BE746">
            <v>1</v>
          </cell>
          <cell r="BG746" t="str">
            <v>1100</v>
          </cell>
        </row>
        <row r="747">
          <cell r="B747" t="str">
            <v>G152050106100100</v>
          </cell>
          <cell r="C747" t="str">
            <v>15.新潟県</v>
          </cell>
          <cell r="D747" t="str">
            <v>205</v>
          </cell>
          <cell r="E747" t="str">
            <v>柏崎市</v>
          </cell>
          <cell r="F747" t="str">
            <v>01</v>
          </cell>
          <cell r="G747" t="str">
            <v>公共 単独</v>
          </cell>
          <cell r="H747" t="str">
            <v>公共下水道</v>
          </cell>
          <cell r="I747" t="str">
            <v>単独</v>
          </cell>
          <cell r="J747" t="str">
            <v>001</v>
          </cell>
          <cell r="K747" t="str">
            <v>自然環境浄化センター</v>
          </cell>
          <cell r="M747" t="str">
            <v>1</v>
          </cell>
          <cell r="N747" t="str">
            <v>1</v>
          </cell>
          <cell r="O747" t="str">
            <v>1</v>
          </cell>
          <cell r="Q747">
            <v>29738</v>
          </cell>
          <cell r="R747" t="str">
            <v>昭和</v>
          </cell>
          <cell r="S747">
            <v>56</v>
          </cell>
          <cell r="T747">
            <v>6</v>
          </cell>
          <cell r="AB747">
            <v>113400</v>
          </cell>
          <cell r="AC747" t="str">
            <v>鯖石川下流</v>
          </cell>
          <cell r="AD747" t="str">
            <v>Ｃ</v>
          </cell>
          <cell r="AE747" t="str">
            <v>イ</v>
          </cell>
          <cell r="AJ747" t="str">
            <v>鯖石川</v>
          </cell>
          <cell r="AQ747" t="str">
            <v/>
          </cell>
          <cell r="AR747" t="str">
            <v>標準活性汚泥法</v>
          </cell>
          <cell r="AS747" t="str">
            <v>1520501001</v>
          </cell>
          <cell r="AT747" t="str">
            <v/>
          </cell>
          <cell r="AU747" t="str">
            <v>11</v>
          </cell>
          <cell r="AV747" t="str">
            <v>11</v>
          </cell>
          <cell r="AW747">
            <v>0</v>
          </cell>
          <cell r="AX747">
            <v>0</v>
          </cell>
          <cell r="AY747">
            <v>0</v>
          </cell>
          <cell r="AZ747">
            <v>0</v>
          </cell>
          <cell r="BA747">
            <v>0</v>
          </cell>
          <cell r="BD747" t="str">
            <v/>
          </cell>
          <cell r="BE747">
            <v>1</v>
          </cell>
          <cell r="BG747" t="str">
            <v>1110</v>
          </cell>
        </row>
        <row r="748">
          <cell r="B748" t="str">
            <v>G152050206100200</v>
          </cell>
          <cell r="C748" t="str">
            <v>15.新潟県</v>
          </cell>
          <cell r="D748" t="str">
            <v>205</v>
          </cell>
          <cell r="E748" t="str">
            <v>柏崎市</v>
          </cell>
          <cell r="F748" t="str">
            <v>02</v>
          </cell>
          <cell r="G748" t="str">
            <v>特環 単独</v>
          </cell>
          <cell r="H748" t="str">
            <v>特定環境保全公共下水道</v>
          </cell>
          <cell r="I748" t="str">
            <v>単独</v>
          </cell>
          <cell r="J748" t="str">
            <v>002</v>
          </cell>
          <cell r="K748" t="str">
            <v>石地アメニティライフセンター</v>
          </cell>
          <cell r="M748" t="str">
            <v>1</v>
          </cell>
          <cell r="N748" t="str">
            <v>1</v>
          </cell>
          <cell r="Q748">
            <v>36281</v>
          </cell>
          <cell r="R748" t="str">
            <v>平成</v>
          </cell>
          <cell r="S748">
            <v>11</v>
          </cell>
          <cell r="T748">
            <v>5</v>
          </cell>
          <cell r="AB748">
            <v>8526</v>
          </cell>
          <cell r="AF748">
            <v>20</v>
          </cell>
          <cell r="AJ748" t="str">
            <v>大津川</v>
          </cell>
          <cell r="AQ748" t="str">
            <v/>
          </cell>
          <cell r="AR748" t="str">
            <v>オキシディションディッチ法</v>
          </cell>
          <cell r="AS748" t="str">
            <v>1520502002</v>
          </cell>
          <cell r="AT748" t="str">
            <v/>
          </cell>
          <cell r="AU748" t="str">
            <v>10</v>
          </cell>
          <cell r="AV748" t="str">
            <v>10</v>
          </cell>
          <cell r="AW748">
            <v>0</v>
          </cell>
          <cell r="AX748">
            <v>0</v>
          </cell>
          <cell r="AY748">
            <v>0</v>
          </cell>
          <cell r="AZ748">
            <v>0</v>
          </cell>
          <cell r="BA748">
            <v>0</v>
          </cell>
          <cell r="BD748" t="str">
            <v/>
          </cell>
          <cell r="BE748">
            <v>1</v>
          </cell>
          <cell r="BG748" t="str">
            <v>1100</v>
          </cell>
        </row>
        <row r="749">
          <cell r="B749" t="str">
            <v>G152060206100100</v>
          </cell>
          <cell r="C749" t="str">
            <v>15.新潟県</v>
          </cell>
          <cell r="D749" t="str">
            <v>206</v>
          </cell>
          <cell r="E749" t="str">
            <v>新発田市</v>
          </cell>
          <cell r="F749" t="str">
            <v>02</v>
          </cell>
          <cell r="G749" t="str">
            <v>特環 単独</v>
          </cell>
          <cell r="H749" t="str">
            <v>特定環境保全公共下水道</v>
          </cell>
          <cell r="I749" t="str">
            <v>単独</v>
          </cell>
          <cell r="J749" t="str">
            <v>001</v>
          </cell>
          <cell r="K749" t="str">
            <v>月岡浄化センター</v>
          </cell>
          <cell r="M749" t="str">
            <v>1</v>
          </cell>
          <cell r="N749" t="str">
            <v>1</v>
          </cell>
          <cell r="Q749">
            <v>33055</v>
          </cell>
          <cell r="R749" t="str">
            <v>平成</v>
          </cell>
          <cell r="S749">
            <v>2</v>
          </cell>
          <cell r="T749">
            <v>7</v>
          </cell>
          <cell r="AB749">
            <v>15730</v>
          </cell>
          <cell r="AF749">
            <v>15</v>
          </cell>
          <cell r="AK749" t="str">
            <v>荒川川</v>
          </cell>
          <cell r="AQ749" t="str">
            <v/>
          </cell>
          <cell r="AR749" t="str">
            <v>オキシディションディッチ法</v>
          </cell>
          <cell r="AS749" t="str">
            <v>1520602001</v>
          </cell>
          <cell r="AT749" t="str">
            <v/>
          </cell>
          <cell r="AU749" t="str">
            <v>10</v>
          </cell>
          <cell r="AV749" t="str">
            <v>10</v>
          </cell>
          <cell r="AW749">
            <v>0</v>
          </cell>
          <cell r="AX749">
            <v>0</v>
          </cell>
          <cell r="AY749">
            <v>0</v>
          </cell>
          <cell r="AZ749">
            <v>0</v>
          </cell>
          <cell r="BA749">
            <v>0</v>
          </cell>
          <cell r="BD749" t="str">
            <v/>
          </cell>
          <cell r="BE749">
            <v>1</v>
          </cell>
          <cell r="BG749" t="str">
            <v>1100</v>
          </cell>
        </row>
        <row r="750">
          <cell r="B750" t="str">
            <v>G152060206100200</v>
          </cell>
          <cell r="C750" t="str">
            <v>15.新潟県</v>
          </cell>
          <cell r="D750" t="str">
            <v>206</v>
          </cell>
          <cell r="E750" t="str">
            <v>新発田市</v>
          </cell>
          <cell r="F750" t="str">
            <v>02</v>
          </cell>
          <cell r="G750" t="str">
            <v>特環 単独</v>
          </cell>
          <cell r="H750" t="str">
            <v>特定環境保全公共下水道</v>
          </cell>
          <cell r="I750" t="str">
            <v>単独</v>
          </cell>
          <cell r="J750" t="str">
            <v>002</v>
          </cell>
          <cell r="K750" t="str">
            <v>加治川浄化センター</v>
          </cell>
          <cell r="M750" t="str">
            <v>1</v>
          </cell>
          <cell r="N750" t="str">
            <v>1</v>
          </cell>
          <cell r="Q750">
            <v>37530</v>
          </cell>
          <cell r="R750" t="str">
            <v>平成</v>
          </cell>
          <cell r="S750">
            <v>14</v>
          </cell>
          <cell r="T750">
            <v>10</v>
          </cell>
          <cell r="AB750">
            <v>23715</v>
          </cell>
          <cell r="AI750" t="str">
            <v>見透川</v>
          </cell>
          <cell r="AJ750" t="str">
            <v>落掘川</v>
          </cell>
          <cell r="AQ750" t="str">
            <v/>
          </cell>
          <cell r="AR750" t="str">
            <v>オキシディションディッチ法</v>
          </cell>
          <cell r="AS750" t="str">
            <v>1520602002</v>
          </cell>
          <cell r="AT750" t="str">
            <v/>
          </cell>
          <cell r="AU750" t="str">
            <v>10</v>
          </cell>
          <cell r="AV750" t="str">
            <v>10</v>
          </cell>
          <cell r="AW750">
            <v>0</v>
          </cell>
          <cell r="AX750">
            <v>0</v>
          </cell>
          <cell r="AY750">
            <v>0</v>
          </cell>
          <cell r="AZ750">
            <v>0</v>
          </cell>
          <cell r="BA750">
            <v>0</v>
          </cell>
          <cell r="BD750" t="str">
            <v/>
          </cell>
          <cell r="BE750">
            <v>1</v>
          </cell>
          <cell r="BG750" t="str">
            <v>1100</v>
          </cell>
        </row>
        <row r="751">
          <cell r="B751" t="str">
            <v>G152090106100100</v>
          </cell>
          <cell r="C751" t="str">
            <v>15.新潟県</v>
          </cell>
          <cell r="D751" t="str">
            <v>209</v>
          </cell>
          <cell r="E751" t="str">
            <v>加茂市</v>
          </cell>
          <cell r="F751" t="str">
            <v>01</v>
          </cell>
          <cell r="G751" t="str">
            <v>公共 単独</v>
          </cell>
          <cell r="H751" t="str">
            <v>公共下水道</v>
          </cell>
          <cell r="I751" t="str">
            <v>単独</v>
          </cell>
          <cell r="J751" t="str">
            <v>001</v>
          </cell>
          <cell r="K751" t="str">
            <v>加茂市浄化センター</v>
          </cell>
          <cell r="M751" t="str">
            <v>1</v>
          </cell>
          <cell r="N751" t="str">
            <v>1</v>
          </cell>
          <cell r="Q751">
            <v>32629</v>
          </cell>
          <cell r="R751" t="str">
            <v>平成</v>
          </cell>
          <cell r="S751">
            <v>1</v>
          </cell>
          <cell r="T751">
            <v>5</v>
          </cell>
          <cell r="AB751">
            <v>48157</v>
          </cell>
          <cell r="AC751" t="str">
            <v>信濃川</v>
          </cell>
          <cell r="AD751" t="str">
            <v>Ａ</v>
          </cell>
          <cell r="AE751" t="str">
            <v>ロ</v>
          </cell>
          <cell r="AF751">
            <v>15</v>
          </cell>
          <cell r="AI751" t="str">
            <v>布施谷川</v>
          </cell>
          <cell r="AK751" t="str">
            <v>信濃川</v>
          </cell>
          <cell r="AL751" t="str">
            <v>加茂市上水道用水</v>
          </cell>
          <cell r="AM751">
            <v>1.5</v>
          </cell>
          <cell r="AO751" t="str">
            <v>加茂市</v>
          </cell>
          <cell r="AQ751" t="str">
            <v/>
          </cell>
          <cell r="AR751" t="str">
            <v>標準活性汚泥法</v>
          </cell>
          <cell r="AS751" t="str">
            <v>1520901001</v>
          </cell>
          <cell r="AT751" t="str">
            <v/>
          </cell>
          <cell r="AU751" t="str">
            <v>10</v>
          </cell>
          <cell r="AV751" t="str">
            <v>10</v>
          </cell>
          <cell r="AW751">
            <v>0</v>
          </cell>
          <cell r="AX751">
            <v>0</v>
          </cell>
          <cell r="AY751">
            <v>0</v>
          </cell>
          <cell r="AZ751">
            <v>0</v>
          </cell>
          <cell r="BA751">
            <v>0</v>
          </cell>
          <cell r="BD751" t="str">
            <v/>
          </cell>
          <cell r="BE751">
            <v>1</v>
          </cell>
          <cell r="BG751" t="str">
            <v>1100</v>
          </cell>
        </row>
        <row r="752">
          <cell r="B752" t="str">
            <v>G152100106100100</v>
          </cell>
          <cell r="C752" t="str">
            <v>15.新潟県</v>
          </cell>
          <cell r="D752" t="str">
            <v>210</v>
          </cell>
          <cell r="E752" t="str">
            <v>十日町市</v>
          </cell>
          <cell r="F752" t="str">
            <v>01</v>
          </cell>
          <cell r="G752" t="str">
            <v>公共 単独</v>
          </cell>
          <cell r="H752" t="str">
            <v>公共下水道</v>
          </cell>
          <cell r="I752" t="str">
            <v>単独</v>
          </cell>
          <cell r="J752" t="str">
            <v>001</v>
          </cell>
          <cell r="K752" t="str">
            <v>下水処理センター</v>
          </cell>
          <cell r="M752" t="str">
            <v>1</v>
          </cell>
          <cell r="N752" t="str">
            <v>1</v>
          </cell>
          <cell r="Q752">
            <v>30437</v>
          </cell>
          <cell r="R752" t="str">
            <v>昭和</v>
          </cell>
          <cell r="S752">
            <v>58</v>
          </cell>
          <cell r="T752">
            <v>5</v>
          </cell>
          <cell r="AB752">
            <v>47790</v>
          </cell>
          <cell r="AC752" t="str">
            <v>信濃川中流</v>
          </cell>
          <cell r="AD752" t="str">
            <v>Ａ</v>
          </cell>
          <cell r="AE752" t="str">
            <v>ロ</v>
          </cell>
          <cell r="AF752">
            <v>15</v>
          </cell>
          <cell r="AK752" t="str">
            <v>中沢川</v>
          </cell>
          <cell r="AL752" t="str">
            <v>西倉簡易水道取水口</v>
          </cell>
          <cell r="AN752">
            <v>22.3</v>
          </cell>
          <cell r="AO752" t="str">
            <v>長岡市(旧川口町)</v>
          </cell>
          <cell r="AQ752" t="str">
            <v/>
          </cell>
          <cell r="AR752" t="str">
            <v>標準活性汚泥法</v>
          </cell>
          <cell r="AS752" t="str">
            <v>1521001001</v>
          </cell>
          <cell r="AT752" t="str">
            <v/>
          </cell>
          <cell r="AU752" t="str">
            <v>10</v>
          </cell>
          <cell r="AV752" t="str">
            <v>10</v>
          </cell>
          <cell r="AW752">
            <v>0</v>
          </cell>
          <cell r="AX752">
            <v>0</v>
          </cell>
          <cell r="AY752">
            <v>0</v>
          </cell>
          <cell r="AZ752">
            <v>0</v>
          </cell>
          <cell r="BA752">
            <v>0</v>
          </cell>
          <cell r="BD752" t="str">
            <v/>
          </cell>
          <cell r="BE752">
            <v>1</v>
          </cell>
          <cell r="BG752" t="str">
            <v>1100</v>
          </cell>
        </row>
        <row r="753">
          <cell r="B753" t="str">
            <v>G152100206100200</v>
          </cell>
          <cell r="C753" t="str">
            <v>15.新潟県</v>
          </cell>
          <cell r="D753" t="str">
            <v>210</v>
          </cell>
          <cell r="E753" t="str">
            <v>十日町市</v>
          </cell>
          <cell r="F753" t="str">
            <v>02</v>
          </cell>
          <cell r="G753" t="str">
            <v>特環 単独</v>
          </cell>
          <cell r="H753" t="str">
            <v>特定環境保全公共下水道</v>
          </cell>
          <cell r="I753" t="str">
            <v>単独</v>
          </cell>
          <cell r="J753" t="str">
            <v>002</v>
          </cell>
          <cell r="K753" t="str">
            <v>中里浄化センター</v>
          </cell>
          <cell r="M753" t="str">
            <v>1</v>
          </cell>
          <cell r="N753" t="str">
            <v>1</v>
          </cell>
          <cell r="Q753">
            <v>35125</v>
          </cell>
          <cell r="R753" t="str">
            <v>平成</v>
          </cell>
          <cell r="S753">
            <v>8</v>
          </cell>
          <cell r="T753">
            <v>3</v>
          </cell>
          <cell r="AB753">
            <v>8900</v>
          </cell>
          <cell r="AC753" t="str">
            <v>信濃川中流</v>
          </cell>
          <cell r="AD753" t="str">
            <v>Ａ</v>
          </cell>
          <cell r="AE753" t="str">
            <v>ロ</v>
          </cell>
          <cell r="AF753">
            <v>15</v>
          </cell>
          <cell r="AK753" t="str">
            <v>信濃川</v>
          </cell>
          <cell r="AL753" t="str">
            <v>長岡市西倉簡易水道</v>
          </cell>
          <cell r="AN753">
            <v>30</v>
          </cell>
          <cell r="AO753" t="str">
            <v>長岡市(旧川口町)</v>
          </cell>
          <cell r="AQ753" t="str">
            <v/>
          </cell>
          <cell r="AR753" t="str">
            <v>オキシディションディッチ法</v>
          </cell>
          <cell r="AS753" t="str">
            <v>1521002002</v>
          </cell>
          <cell r="AT753" t="str">
            <v/>
          </cell>
          <cell r="AU753" t="str">
            <v>10</v>
          </cell>
          <cell r="AV753" t="str">
            <v>10</v>
          </cell>
          <cell r="AW753">
            <v>0</v>
          </cell>
          <cell r="AX753">
            <v>0</v>
          </cell>
          <cell r="AY753">
            <v>0</v>
          </cell>
          <cell r="AZ753">
            <v>0</v>
          </cell>
          <cell r="BA753">
            <v>0</v>
          </cell>
          <cell r="BD753" t="str">
            <v/>
          </cell>
          <cell r="BE753">
            <v>1</v>
          </cell>
          <cell r="BG753" t="str">
            <v>1100</v>
          </cell>
        </row>
        <row r="754">
          <cell r="B754" t="str">
            <v>G152100206100300</v>
          </cell>
          <cell r="C754" t="str">
            <v>15.新潟県</v>
          </cell>
          <cell r="D754" t="str">
            <v>210</v>
          </cell>
          <cell r="E754" t="str">
            <v>十日町市</v>
          </cell>
          <cell r="F754" t="str">
            <v>02</v>
          </cell>
          <cell r="G754" t="str">
            <v>特環 単独</v>
          </cell>
          <cell r="H754" t="str">
            <v>特定環境保全公共下水道</v>
          </cell>
          <cell r="I754" t="str">
            <v>単独</v>
          </cell>
          <cell r="J754" t="str">
            <v>003</v>
          </cell>
          <cell r="K754" t="str">
            <v>松之山浄化センター</v>
          </cell>
          <cell r="M754" t="str">
            <v>1</v>
          </cell>
          <cell r="N754" t="str">
            <v>1</v>
          </cell>
          <cell r="Q754">
            <v>35490</v>
          </cell>
          <cell r="R754" t="str">
            <v>平成</v>
          </cell>
          <cell r="S754">
            <v>9</v>
          </cell>
          <cell r="T754">
            <v>3</v>
          </cell>
          <cell r="AB754">
            <v>10035</v>
          </cell>
          <cell r="AF754">
            <v>15</v>
          </cell>
          <cell r="AI754" t="str">
            <v>池田沢川</v>
          </cell>
          <cell r="AK754" t="str">
            <v>越道川</v>
          </cell>
          <cell r="AN754">
            <v>20</v>
          </cell>
          <cell r="AO754" t="str">
            <v>長岡市</v>
          </cell>
          <cell r="AQ754" t="str">
            <v/>
          </cell>
          <cell r="AR754" t="str">
            <v>オキシディションディッチ法</v>
          </cell>
          <cell r="AS754" t="str">
            <v>1521002003</v>
          </cell>
          <cell r="AT754" t="str">
            <v/>
          </cell>
          <cell r="AU754" t="str">
            <v>10</v>
          </cell>
          <cell r="AV754" t="str">
            <v>10</v>
          </cell>
          <cell r="AW754">
            <v>0</v>
          </cell>
          <cell r="AX754">
            <v>0</v>
          </cell>
          <cell r="AY754">
            <v>0</v>
          </cell>
          <cell r="AZ754">
            <v>0</v>
          </cell>
          <cell r="BA754">
            <v>0</v>
          </cell>
          <cell r="BD754" t="str">
            <v/>
          </cell>
          <cell r="BE754">
            <v>1</v>
          </cell>
          <cell r="BG754" t="str">
            <v>1100</v>
          </cell>
        </row>
        <row r="755">
          <cell r="B755" t="str">
            <v>G152100206100400</v>
          </cell>
          <cell r="C755" t="str">
            <v>15.新潟県</v>
          </cell>
          <cell r="D755" t="str">
            <v>210</v>
          </cell>
          <cell r="E755" t="str">
            <v>十日町市</v>
          </cell>
          <cell r="F755" t="str">
            <v>02</v>
          </cell>
          <cell r="G755" t="str">
            <v>特環 単独</v>
          </cell>
          <cell r="H755" t="str">
            <v>特定環境保全公共下水道</v>
          </cell>
          <cell r="I755" t="str">
            <v>単独</v>
          </cell>
          <cell r="J755" t="str">
            <v>004</v>
          </cell>
          <cell r="K755" t="str">
            <v>松代浄化センター</v>
          </cell>
          <cell r="M755" t="str">
            <v>1</v>
          </cell>
          <cell r="N755" t="str">
            <v>1</v>
          </cell>
          <cell r="Q755">
            <v>36586</v>
          </cell>
          <cell r="R755" t="str">
            <v>平成</v>
          </cell>
          <cell r="S755">
            <v>12</v>
          </cell>
          <cell r="T755">
            <v>3</v>
          </cell>
          <cell r="AB755">
            <v>6779</v>
          </cell>
          <cell r="AC755" t="str">
            <v>設定なし</v>
          </cell>
          <cell r="AF755">
            <v>15</v>
          </cell>
          <cell r="AI755" t="str">
            <v>川嶋１号排水路</v>
          </cell>
          <cell r="AK755" t="str">
            <v>渋海川</v>
          </cell>
          <cell r="AL755" t="str">
            <v>大貝取水口</v>
          </cell>
          <cell r="AN755">
            <v>35</v>
          </cell>
          <cell r="AO755" t="str">
            <v>長岡市</v>
          </cell>
          <cell r="AQ755" t="str">
            <v/>
          </cell>
          <cell r="AR755" t="str">
            <v>オキシディションディッチ法</v>
          </cell>
          <cell r="AS755" t="str">
            <v>1521002004</v>
          </cell>
          <cell r="AT755" t="str">
            <v/>
          </cell>
          <cell r="AU755" t="str">
            <v>10</v>
          </cell>
          <cell r="AV755" t="str">
            <v>10</v>
          </cell>
          <cell r="AW755">
            <v>0</v>
          </cell>
          <cell r="AX755">
            <v>0</v>
          </cell>
          <cell r="AY755">
            <v>0</v>
          </cell>
          <cell r="AZ755">
            <v>0</v>
          </cell>
          <cell r="BA755">
            <v>0</v>
          </cell>
          <cell r="BD755" t="str">
            <v/>
          </cell>
          <cell r="BE755">
            <v>1</v>
          </cell>
          <cell r="BG755" t="str">
            <v>1100</v>
          </cell>
        </row>
        <row r="756">
          <cell r="B756" t="str">
            <v>G152110106100100</v>
          </cell>
          <cell r="C756" t="str">
            <v>15.新潟県</v>
          </cell>
          <cell r="D756" t="str">
            <v>211</v>
          </cell>
          <cell r="E756" t="str">
            <v>見附市</v>
          </cell>
          <cell r="F756" t="str">
            <v>01</v>
          </cell>
          <cell r="G756" t="str">
            <v>公共 単独</v>
          </cell>
          <cell r="H756" t="str">
            <v>公共下水道</v>
          </cell>
          <cell r="I756" t="str">
            <v>単独</v>
          </cell>
          <cell r="J756" t="str">
            <v>001</v>
          </cell>
          <cell r="K756" t="str">
            <v>葛巻終末処理場</v>
          </cell>
          <cell r="M756" t="str">
            <v>1</v>
          </cell>
          <cell r="N756" t="str">
            <v>1</v>
          </cell>
          <cell r="Q756">
            <v>25294</v>
          </cell>
          <cell r="R756" t="str">
            <v>昭和</v>
          </cell>
          <cell r="S756">
            <v>44</v>
          </cell>
          <cell r="T756">
            <v>4</v>
          </cell>
          <cell r="AB756">
            <v>18540</v>
          </cell>
          <cell r="AC756" t="str">
            <v>刈谷田川</v>
          </cell>
          <cell r="AD756" t="str">
            <v>Ｂ</v>
          </cell>
          <cell r="AE756" t="str">
            <v>イ</v>
          </cell>
          <cell r="AF756">
            <v>15</v>
          </cell>
          <cell r="AK756" t="str">
            <v>刈谷田川</v>
          </cell>
          <cell r="AL756" t="str">
            <v>刈谷田川取水口</v>
          </cell>
          <cell r="AN756">
            <v>3.3</v>
          </cell>
          <cell r="AO756" t="str">
            <v>見附市、長岡市</v>
          </cell>
          <cell r="AQ756" t="str">
            <v/>
          </cell>
          <cell r="AR756" t="str">
            <v>標準活性汚泥法</v>
          </cell>
          <cell r="AS756" t="str">
            <v>1521101001</v>
          </cell>
          <cell r="AT756" t="str">
            <v/>
          </cell>
          <cell r="AU756" t="str">
            <v>10</v>
          </cell>
          <cell r="AV756" t="str">
            <v>10</v>
          </cell>
          <cell r="AW756">
            <v>0</v>
          </cell>
          <cell r="AX756">
            <v>0</v>
          </cell>
          <cell r="AY756">
            <v>0</v>
          </cell>
          <cell r="AZ756">
            <v>0</v>
          </cell>
          <cell r="BA756">
            <v>0</v>
          </cell>
          <cell r="BD756" t="str">
            <v/>
          </cell>
          <cell r="BE756">
            <v>1</v>
          </cell>
          <cell r="BG756" t="str">
            <v>1100</v>
          </cell>
        </row>
        <row r="757">
          <cell r="B757" t="str">
            <v>G152110106100200</v>
          </cell>
          <cell r="C757" t="str">
            <v>15.新潟県</v>
          </cell>
          <cell r="D757" t="str">
            <v>211</v>
          </cell>
          <cell r="E757" t="str">
            <v>見附市</v>
          </cell>
          <cell r="F757" t="str">
            <v>01</v>
          </cell>
          <cell r="G757" t="str">
            <v>公共 単独</v>
          </cell>
          <cell r="H757" t="str">
            <v>公共下水道</v>
          </cell>
          <cell r="I757" t="str">
            <v>単独</v>
          </cell>
          <cell r="J757" t="str">
            <v>002</v>
          </cell>
          <cell r="K757" t="str">
            <v>今町終末処理場</v>
          </cell>
          <cell r="M757" t="str">
            <v>1</v>
          </cell>
          <cell r="N757" t="str">
            <v>1</v>
          </cell>
          <cell r="Q757">
            <v>31503</v>
          </cell>
          <cell r="R757" t="str">
            <v>昭和</v>
          </cell>
          <cell r="S757">
            <v>61</v>
          </cell>
          <cell r="T757">
            <v>4</v>
          </cell>
          <cell r="AB757">
            <v>34190</v>
          </cell>
          <cell r="AC757" t="str">
            <v>設定なし</v>
          </cell>
          <cell r="AF757">
            <v>15</v>
          </cell>
          <cell r="AI757" t="str">
            <v>今町１号雨水幹線</v>
          </cell>
          <cell r="AK757" t="str">
            <v>貝喰川</v>
          </cell>
          <cell r="AQ757" t="str">
            <v/>
          </cell>
          <cell r="AR757" t="str">
            <v>標準活性汚泥法</v>
          </cell>
          <cell r="AS757" t="str">
            <v>1521101002</v>
          </cell>
          <cell r="AT757" t="str">
            <v/>
          </cell>
          <cell r="AU757" t="str">
            <v>10</v>
          </cell>
          <cell r="AV757" t="str">
            <v>10</v>
          </cell>
          <cell r="AW757">
            <v>0</v>
          </cell>
          <cell r="AX757">
            <v>0</v>
          </cell>
          <cell r="AY757">
            <v>0</v>
          </cell>
          <cell r="AZ757">
            <v>0</v>
          </cell>
          <cell r="BA757">
            <v>0</v>
          </cell>
          <cell r="BD757" t="str">
            <v/>
          </cell>
          <cell r="BE757">
            <v>1</v>
          </cell>
          <cell r="BG757" t="str">
            <v>1100</v>
          </cell>
        </row>
        <row r="758">
          <cell r="B758" t="str">
            <v>G152120106100100</v>
          </cell>
          <cell r="C758" t="str">
            <v>15.新潟県</v>
          </cell>
          <cell r="D758" t="str">
            <v>212</v>
          </cell>
          <cell r="E758" t="str">
            <v>村上市</v>
          </cell>
          <cell r="F758" t="str">
            <v>01</v>
          </cell>
          <cell r="G758" t="str">
            <v>公共 単独</v>
          </cell>
          <cell r="H758" t="str">
            <v>公共下水道</v>
          </cell>
          <cell r="I758" t="str">
            <v>単独</v>
          </cell>
          <cell r="J758" t="str">
            <v>001</v>
          </cell>
          <cell r="K758" t="str">
            <v>村上浄化センター</v>
          </cell>
          <cell r="M758" t="str">
            <v>1</v>
          </cell>
          <cell r="N758" t="str">
            <v>1</v>
          </cell>
          <cell r="Q758">
            <v>32264</v>
          </cell>
          <cell r="R758" t="str">
            <v>昭和</v>
          </cell>
          <cell r="S758">
            <v>63</v>
          </cell>
          <cell r="T758">
            <v>5</v>
          </cell>
          <cell r="AB758">
            <v>32265</v>
          </cell>
          <cell r="AC758" t="str">
            <v>海域</v>
          </cell>
          <cell r="AD758" t="str">
            <v>Ａ</v>
          </cell>
          <cell r="AE758" t="str">
            <v>イ</v>
          </cell>
          <cell r="AI758" t="str">
            <v>日本海</v>
          </cell>
          <cell r="AQ758" t="str">
            <v/>
          </cell>
          <cell r="AR758" t="str">
            <v>標準活性汚泥法</v>
          </cell>
          <cell r="AS758" t="str">
            <v>1521201001</v>
          </cell>
          <cell r="AT758" t="str">
            <v/>
          </cell>
          <cell r="AU758" t="str">
            <v>10</v>
          </cell>
          <cell r="AV758" t="str">
            <v>10</v>
          </cell>
          <cell r="AW758">
            <v>0</v>
          </cell>
          <cell r="AX758">
            <v>0</v>
          </cell>
          <cell r="AY758">
            <v>0</v>
          </cell>
          <cell r="AZ758">
            <v>0</v>
          </cell>
          <cell r="BA758">
            <v>0</v>
          </cell>
          <cell r="BD758" t="str">
            <v/>
          </cell>
          <cell r="BE758">
            <v>1</v>
          </cell>
          <cell r="BG758" t="str">
            <v>1100</v>
          </cell>
        </row>
        <row r="759">
          <cell r="B759" t="str">
            <v>G152120106100200</v>
          </cell>
          <cell r="C759" t="str">
            <v>15.新潟県</v>
          </cell>
          <cell r="D759" t="str">
            <v>212</v>
          </cell>
          <cell r="E759" t="str">
            <v>村上市</v>
          </cell>
          <cell r="F759" t="str">
            <v>01</v>
          </cell>
          <cell r="G759" t="str">
            <v>公共 単独</v>
          </cell>
          <cell r="H759" t="str">
            <v>公共下水道</v>
          </cell>
          <cell r="I759" t="str">
            <v>単独</v>
          </cell>
          <cell r="J759" t="str">
            <v>002</v>
          </cell>
          <cell r="K759" t="str">
            <v>荒川浄化センター</v>
          </cell>
          <cell r="M759" t="str">
            <v>1</v>
          </cell>
          <cell r="N759" t="str">
            <v>1</v>
          </cell>
          <cell r="Q759">
            <v>36100</v>
          </cell>
          <cell r="R759" t="str">
            <v>平成</v>
          </cell>
          <cell r="S759">
            <v>10</v>
          </cell>
          <cell r="T759">
            <v>11</v>
          </cell>
          <cell r="AB759">
            <v>23700</v>
          </cell>
          <cell r="AC759" t="str">
            <v>荒川下流</v>
          </cell>
          <cell r="AD759" t="str">
            <v>ＡＡ</v>
          </cell>
          <cell r="AE759" t="str">
            <v>イ</v>
          </cell>
          <cell r="AF759">
            <v>15</v>
          </cell>
          <cell r="AK759" t="str">
            <v>烏川</v>
          </cell>
          <cell r="AQ759" t="str">
            <v/>
          </cell>
          <cell r="AR759" t="str">
            <v>オキシディションディッチ法</v>
          </cell>
          <cell r="AS759" t="str">
            <v>1521201002</v>
          </cell>
          <cell r="AT759" t="str">
            <v/>
          </cell>
          <cell r="AU759" t="str">
            <v>10</v>
          </cell>
          <cell r="AV759" t="str">
            <v>10</v>
          </cell>
          <cell r="AW759">
            <v>0</v>
          </cell>
          <cell r="AX759">
            <v>0</v>
          </cell>
          <cell r="AY759">
            <v>0</v>
          </cell>
          <cell r="AZ759">
            <v>0</v>
          </cell>
          <cell r="BA759">
            <v>0</v>
          </cell>
          <cell r="BD759" t="str">
            <v/>
          </cell>
          <cell r="BE759">
            <v>1</v>
          </cell>
          <cell r="BG759" t="str">
            <v>1100</v>
          </cell>
        </row>
        <row r="760">
          <cell r="B760" t="str">
            <v>G152120206100300</v>
          </cell>
          <cell r="C760" t="str">
            <v>15.新潟県</v>
          </cell>
          <cell r="D760" t="str">
            <v>212</v>
          </cell>
          <cell r="E760" t="str">
            <v>村上市</v>
          </cell>
          <cell r="F760" t="str">
            <v>02</v>
          </cell>
          <cell r="G760" t="str">
            <v>特環 単独</v>
          </cell>
          <cell r="H760" t="str">
            <v>特定環境保全公共下水道</v>
          </cell>
          <cell r="I760" t="str">
            <v>単独</v>
          </cell>
          <cell r="J760" t="str">
            <v>003</v>
          </cell>
          <cell r="K760" t="str">
            <v>朝日浄化センター</v>
          </cell>
          <cell r="M760" t="str">
            <v>1</v>
          </cell>
          <cell r="N760" t="str">
            <v>1</v>
          </cell>
          <cell r="Q760">
            <v>36069</v>
          </cell>
          <cell r="R760" t="str">
            <v>平成</v>
          </cell>
          <cell r="S760">
            <v>10</v>
          </cell>
          <cell r="T760">
            <v>10</v>
          </cell>
          <cell r="AB760">
            <v>17596</v>
          </cell>
          <cell r="AC760" t="str">
            <v>三面川</v>
          </cell>
          <cell r="AD760" t="str">
            <v>Ａ</v>
          </cell>
          <cell r="AE760" t="str">
            <v>イ</v>
          </cell>
          <cell r="AF760">
            <v>15</v>
          </cell>
          <cell r="AJ760" t="str">
            <v>三面川</v>
          </cell>
          <cell r="AL760" t="str">
            <v>三面川水系薦川支流シシ沢取水地</v>
          </cell>
          <cell r="AM760">
            <v>13.2</v>
          </cell>
          <cell r="AO760" t="str">
            <v>村上市</v>
          </cell>
          <cell r="AQ760" t="str">
            <v/>
          </cell>
          <cell r="AR760" t="str">
            <v>オキシディションディッチ法</v>
          </cell>
          <cell r="AS760" t="str">
            <v>1521202003</v>
          </cell>
          <cell r="AT760" t="str">
            <v/>
          </cell>
          <cell r="AU760" t="str">
            <v>10</v>
          </cell>
          <cell r="AV760" t="str">
            <v>10</v>
          </cell>
          <cell r="AW760">
            <v>0</v>
          </cell>
          <cell r="AX760">
            <v>0</v>
          </cell>
          <cell r="AY760">
            <v>0</v>
          </cell>
          <cell r="AZ760">
            <v>0</v>
          </cell>
          <cell r="BA760">
            <v>0</v>
          </cell>
          <cell r="BD760" t="str">
            <v/>
          </cell>
          <cell r="BE760">
            <v>1</v>
          </cell>
          <cell r="BG760" t="str">
            <v>1100</v>
          </cell>
        </row>
        <row r="761">
          <cell r="B761" t="str">
            <v>G152120206100400</v>
          </cell>
          <cell r="C761" t="str">
            <v>15.新潟県</v>
          </cell>
          <cell r="D761" t="str">
            <v>212</v>
          </cell>
          <cell r="E761" t="str">
            <v>村上市</v>
          </cell>
          <cell r="F761" t="str">
            <v>02</v>
          </cell>
          <cell r="G761" t="str">
            <v>特環 単独</v>
          </cell>
          <cell r="H761" t="str">
            <v>特定環境保全公共下水道</v>
          </cell>
          <cell r="I761" t="str">
            <v>単独</v>
          </cell>
          <cell r="J761" t="str">
            <v>004</v>
          </cell>
          <cell r="K761" t="str">
            <v>平林浄化センター</v>
          </cell>
          <cell r="M761" t="str">
            <v>1</v>
          </cell>
          <cell r="N761" t="str">
            <v>1</v>
          </cell>
          <cell r="Q761">
            <v>36069</v>
          </cell>
          <cell r="R761" t="str">
            <v>平成</v>
          </cell>
          <cell r="S761">
            <v>10</v>
          </cell>
          <cell r="T761">
            <v>10</v>
          </cell>
          <cell r="AB761">
            <v>11589</v>
          </cell>
          <cell r="AC761" t="str">
            <v>荒川（旭橋下流）</v>
          </cell>
          <cell r="AD761" t="str">
            <v>Ｂ</v>
          </cell>
          <cell r="AE761" t="str">
            <v>イ</v>
          </cell>
          <cell r="AF761">
            <v>15</v>
          </cell>
          <cell r="AK761" t="str">
            <v>荒川</v>
          </cell>
          <cell r="AQ761" t="str">
            <v/>
          </cell>
          <cell r="AR761" t="str">
            <v>オキシディションディッチ法</v>
          </cell>
          <cell r="AS761" t="str">
            <v>1521202004</v>
          </cell>
          <cell r="AT761" t="str">
            <v/>
          </cell>
          <cell r="AU761" t="str">
            <v>10</v>
          </cell>
          <cell r="AV761" t="str">
            <v>10</v>
          </cell>
          <cell r="AW761">
            <v>0</v>
          </cell>
          <cell r="AX761">
            <v>0</v>
          </cell>
          <cell r="AY761">
            <v>0</v>
          </cell>
          <cell r="AZ761">
            <v>0</v>
          </cell>
          <cell r="BA761">
            <v>0</v>
          </cell>
          <cell r="BD761" t="str">
            <v/>
          </cell>
          <cell r="BE761">
            <v>1</v>
          </cell>
          <cell r="BG761" t="str">
            <v>1100</v>
          </cell>
        </row>
        <row r="762">
          <cell r="B762" t="str">
            <v>G152120206100500</v>
          </cell>
          <cell r="C762" t="str">
            <v>15.新潟県</v>
          </cell>
          <cell r="D762" t="str">
            <v>212</v>
          </cell>
          <cell r="E762" t="str">
            <v>村上市</v>
          </cell>
          <cell r="F762" t="str">
            <v>02</v>
          </cell>
          <cell r="G762" t="str">
            <v>特環 単独</v>
          </cell>
          <cell r="H762" t="str">
            <v>特定環境保全公共下水道</v>
          </cell>
          <cell r="I762" t="str">
            <v>単独</v>
          </cell>
          <cell r="J762" t="str">
            <v>005</v>
          </cell>
          <cell r="K762" t="str">
            <v>府屋浄化センター</v>
          </cell>
          <cell r="M762" t="str">
            <v>1</v>
          </cell>
          <cell r="N762" t="str">
            <v>1</v>
          </cell>
          <cell r="Q762">
            <v>31260</v>
          </cell>
          <cell r="R762" t="str">
            <v>昭和</v>
          </cell>
          <cell r="S762">
            <v>60</v>
          </cell>
          <cell r="T762">
            <v>8</v>
          </cell>
          <cell r="AB762">
            <v>3269</v>
          </cell>
          <cell r="AC762" t="str">
            <v>大川</v>
          </cell>
          <cell r="AD762" t="str">
            <v>Ａ</v>
          </cell>
          <cell r="AF762">
            <v>15</v>
          </cell>
          <cell r="AJ762" t="str">
            <v>大川</v>
          </cell>
          <cell r="AQ762" t="str">
            <v/>
          </cell>
          <cell r="AR762" t="str">
            <v>回転生物接触法</v>
          </cell>
          <cell r="AS762" t="str">
            <v>1521202005</v>
          </cell>
          <cell r="AT762" t="str">
            <v/>
          </cell>
          <cell r="AU762" t="str">
            <v>10</v>
          </cell>
          <cell r="AV762" t="str">
            <v>10</v>
          </cell>
          <cell r="AW762">
            <v>0</v>
          </cell>
          <cell r="AX762">
            <v>0</v>
          </cell>
          <cell r="AY762">
            <v>0</v>
          </cell>
          <cell r="AZ762">
            <v>0</v>
          </cell>
          <cell r="BA762">
            <v>0</v>
          </cell>
          <cell r="BD762" t="str">
            <v/>
          </cell>
          <cell r="BE762">
            <v>1</v>
          </cell>
          <cell r="BG762" t="str">
            <v>1100</v>
          </cell>
        </row>
        <row r="763">
          <cell r="B763" t="str">
            <v>G152120206100600</v>
          </cell>
          <cell r="C763" t="str">
            <v>15.新潟県</v>
          </cell>
          <cell r="D763" t="str">
            <v>212</v>
          </cell>
          <cell r="E763" t="str">
            <v>村上市</v>
          </cell>
          <cell r="F763" t="str">
            <v>02</v>
          </cell>
          <cell r="G763" t="str">
            <v>特環 単独</v>
          </cell>
          <cell r="H763" t="str">
            <v>特定環境保全公共下水道</v>
          </cell>
          <cell r="I763" t="str">
            <v>単独</v>
          </cell>
          <cell r="J763" t="str">
            <v>006</v>
          </cell>
          <cell r="K763" t="str">
            <v>桑川浄化センター</v>
          </cell>
          <cell r="M763" t="str">
            <v>1</v>
          </cell>
          <cell r="N763" t="str">
            <v>1</v>
          </cell>
          <cell r="Q763">
            <v>33878</v>
          </cell>
          <cell r="R763" t="str">
            <v>平成</v>
          </cell>
          <cell r="S763">
            <v>4</v>
          </cell>
          <cell r="T763">
            <v>10</v>
          </cell>
          <cell r="AB763">
            <v>1300</v>
          </cell>
          <cell r="AF763">
            <v>15</v>
          </cell>
          <cell r="AJ763" t="str">
            <v>桑川</v>
          </cell>
          <cell r="AQ763" t="str">
            <v/>
          </cell>
          <cell r="AR763" t="str">
            <v>オキシディションディッチ法</v>
          </cell>
          <cell r="AS763" t="str">
            <v>1521202006</v>
          </cell>
          <cell r="AT763" t="str">
            <v/>
          </cell>
          <cell r="AU763" t="str">
            <v>10</v>
          </cell>
          <cell r="AV763" t="str">
            <v>10</v>
          </cell>
          <cell r="AW763">
            <v>0</v>
          </cell>
          <cell r="AX763">
            <v>0</v>
          </cell>
          <cell r="AY763">
            <v>0</v>
          </cell>
          <cell r="AZ763">
            <v>0</v>
          </cell>
          <cell r="BA763">
            <v>0</v>
          </cell>
          <cell r="BD763" t="str">
            <v/>
          </cell>
          <cell r="BE763">
            <v>1</v>
          </cell>
          <cell r="BG763" t="str">
            <v>1100</v>
          </cell>
        </row>
        <row r="764">
          <cell r="B764" t="str">
            <v>G152120206100700</v>
          </cell>
          <cell r="C764" t="str">
            <v>15.新潟県</v>
          </cell>
          <cell r="D764" t="str">
            <v>212</v>
          </cell>
          <cell r="E764" t="str">
            <v>村上市</v>
          </cell>
          <cell r="F764" t="str">
            <v>02</v>
          </cell>
          <cell r="G764" t="str">
            <v>特環 単独</v>
          </cell>
          <cell r="H764" t="str">
            <v>特定環境保全公共下水道</v>
          </cell>
          <cell r="I764" t="str">
            <v>単独</v>
          </cell>
          <cell r="J764" t="str">
            <v>007</v>
          </cell>
          <cell r="K764" t="str">
            <v>寒川浄化センター</v>
          </cell>
          <cell r="M764" t="str">
            <v>1</v>
          </cell>
          <cell r="N764" t="str">
            <v>1</v>
          </cell>
          <cell r="Q764">
            <v>34335</v>
          </cell>
          <cell r="R764" t="str">
            <v>平成</v>
          </cell>
          <cell r="S764">
            <v>6</v>
          </cell>
          <cell r="T764">
            <v>1</v>
          </cell>
          <cell r="AB764">
            <v>5200</v>
          </cell>
          <cell r="AF764">
            <v>15</v>
          </cell>
          <cell r="AJ764" t="str">
            <v>葡萄川</v>
          </cell>
          <cell r="AQ764" t="str">
            <v/>
          </cell>
          <cell r="AR764" t="str">
            <v>オキシディションディッチ法</v>
          </cell>
          <cell r="AS764" t="str">
            <v>1521202007</v>
          </cell>
          <cell r="AT764" t="str">
            <v/>
          </cell>
          <cell r="AU764" t="str">
            <v>10</v>
          </cell>
          <cell r="AV764" t="str">
            <v>10</v>
          </cell>
          <cell r="AW764">
            <v>0</v>
          </cell>
          <cell r="AX764">
            <v>0</v>
          </cell>
          <cell r="AY764">
            <v>0</v>
          </cell>
          <cell r="AZ764">
            <v>0</v>
          </cell>
          <cell r="BA764">
            <v>0</v>
          </cell>
          <cell r="BD764" t="str">
            <v/>
          </cell>
          <cell r="BE764">
            <v>1</v>
          </cell>
          <cell r="BG764" t="str">
            <v>1100</v>
          </cell>
        </row>
        <row r="765">
          <cell r="B765" t="str">
            <v>G152120206100800</v>
          </cell>
          <cell r="C765" t="str">
            <v>15.新潟県</v>
          </cell>
          <cell r="D765" t="str">
            <v>212</v>
          </cell>
          <cell r="E765" t="str">
            <v>村上市</v>
          </cell>
          <cell r="F765" t="str">
            <v>02</v>
          </cell>
          <cell r="G765" t="str">
            <v>特環 単独</v>
          </cell>
          <cell r="H765" t="str">
            <v>特定環境保全公共下水道</v>
          </cell>
          <cell r="I765" t="str">
            <v>単独</v>
          </cell>
          <cell r="J765" t="str">
            <v>008</v>
          </cell>
          <cell r="K765" t="str">
            <v>黒川俣浄化センター</v>
          </cell>
          <cell r="M765" t="str">
            <v>1</v>
          </cell>
          <cell r="N765" t="str">
            <v>1</v>
          </cell>
          <cell r="P765" t="str">
            <v>1</v>
          </cell>
          <cell r="Q765">
            <v>35186</v>
          </cell>
          <cell r="R765" t="str">
            <v>平成</v>
          </cell>
          <cell r="S765">
            <v>8</v>
          </cell>
          <cell r="T765">
            <v>5</v>
          </cell>
          <cell r="AB765">
            <v>7300</v>
          </cell>
          <cell r="AF765">
            <v>15</v>
          </cell>
          <cell r="AJ765" t="str">
            <v>大毎川</v>
          </cell>
          <cell r="AQ765" t="str">
            <v/>
          </cell>
          <cell r="AR765" t="str">
            <v>オキシディションディッチ法</v>
          </cell>
          <cell r="AS765" t="str">
            <v>1521202008</v>
          </cell>
          <cell r="AT765" t="str">
            <v/>
          </cell>
          <cell r="AU765" t="str">
            <v>10</v>
          </cell>
          <cell r="AV765" t="str">
            <v>10</v>
          </cell>
          <cell r="AW765">
            <v>1</v>
          </cell>
          <cell r="AX765">
            <v>0</v>
          </cell>
          <cell r="AY765">
            <v>0</v>
          </cell>
          <cell r="AZ765">
            <v>0</v>
          </cell>
          <cell r="BA765">
            <v>0</v>
          </cell>
          <cell r="BD765" t="str">
            <v/>
          </cell>
          <cell r="BE765">
            <v>1</v>
          </cell>
          <cell r="BG765" t="str">
            <v>1101</v>
          </cell>
        </row>
        <row r="766">
          <cell r="B766" t="str">
            <v>G152120206100900</v>
          </cell>
          <cell r="C766" t="str">
            <v>15.新潟県</v>
          </cell>
          <cell r="D766" t="str">
            <v>212</v>
          </cell>
          <cell r="E766" t="str">
            <v>村上市</v>
          </cell>
          <cell r="F766" t="str">
            <v>02</v>
          </cell>
          <cell r="G766" t="str">
            <v>特環 単独</v>
          </cell>
          <cell r="H766" t="str">
            <v>特定環境保全公共下水道</v>
          </cell>
          <cell r="I766" t="str">
            <v>単独</v>
          </cell>
          <cell r="J766" t="str">
            <v>009</v>
          </cell>
          <cell r="K766" t="str">
            <v>今川浄化センター</v>
          </cell>
          <cell r="M766" t="str">
            <v>1</v>
          </cell>
          <cell r="N766" t="str">
            <v>1</v>
          </cell>
          <cell r="Q766">
            <v>36039</v>
          </cell>
          <cell r="R766" t="str">
            <v>平成</v>
          </cell>
          <cell r="S766">
            <v>10</v>
          </cell>
          <cell r="T766">
            <v>9</v>
          </cell>
          <cell r="AB766">
            <v>1600</v>
          </cell>
          <cell r="AC766" t="str">
            <v>県北海域</v>
          </cell>
          <cell r="AD766" t="str">
            <v>Ａ</v>
          </cell>
          <cell r="AF766">
            <v>15</v>
          </cell>
          <cell r="AI766" t="str">
            <v>日本海</v>
          </cell>
          <cell r="AQ766" t="str">
            <v/>
          </cell>
          <cell r="AR766" t="str">
            <v>オキシディションディッチ法</v>
          </cell>
          <cell r="AS766" t="str">
            <v>1521202009</v>
          </cell>
          <cell r="AT766" t="str">
            <v/>
          </cell>
          <cell r="AU766" t="str">
            <v>10</v>
          </cell>
          <cell r="AV766" t="str">
            <v>10</v>
          </cell>
          <cell r="AW766">
            <v>0</v>
          </cell>
          <cell r="AX766">
            <v>0</v>
          </cell>
          <cell r="AY766">
            <v>0</v>
          </cell>
          <cell r="AZ766">
            <v>0</v>
          </cell>
          <cell r="BA766">
            <v>0</v>
          </cell>
          <cell r="BD766" t="str">
            <v/>
          </cell>
          <cell r="BE766">
            <v>1</v>
          </cell>
          <cell r="BG766" t="str">
            <v>1100</v>
          </cell>
        </row>
        <row r="767">
          <cell r="B767" t="str">
            <v>G152120206101000</v>
          </cell>
          <cell r="C767" t="str">
            <v>15.新潟県</v>
          </cell>
          <cell r="D767" t="str">
            <v>212</v>
          </cell>
          <cell r="E767" t="str">
            <v>村上市</v>
          </cell>
          <cell r="F767" t="str">
            <v>02</v>
          </cell>
          <cell r="G767" t="str">
            <v>特環 単独</v>
          </cell>
          <cell r="H767" t="str">
            <v>特定環境保全公共下水道</v>
          </cell>
          <cell r="I767" t="str">
            <v>単独</v>
          </cell>
          <cell r="J767" t="str">
            <v>010</v>
          </cell>
          <cell r="K767" t="str">
            <v>八幡浄化センター</v>
          </cell>
          <cell r="M767" t="str">
            <v>1</v>
          </cell>
          <cell r="N767" t="str">
            <v>1</v>
          </cell>
          <cell r="Q767">
            <v>36951</v>
          </cell>
          <cell r="R767" t="str">
            <v>平成</v>
          </cell>
          <cell r="S767">
            <v>13</v>
          </cell>
          <cell r="T767">
            <v>3</v>
          </cell>
          <cell r="AB767">
            <v>5600</v>
          </cell>
          <cell r="AF767">
            <v>15</v>
          </cell>
          <cell r="AI767" t="str">
            <v>農業用排水路</v>
          </cell>
          <cell r="AQ767" t="str">
            <v/>
          </cell>
          <cell r="AR767" t="str">
            <v>オキシディションディッチ法</v>
          </cell>
          <cell r="AS767" t="str">
            <v>1521202010</v>
          </cell>
          <cell r="AT767" t="str">
            <v/>
          </cell>
          <cell r="AU767" t="str">
            <v>10</v>
          </cell>
          <cell r="AV767" t="str">
            <v>10</v>
          </cell>
          <cell r="AW767">
            <v>0</v>
          </cell>
          <cell r="AX767">
            <v>0</v>
          </cell>
          <cell r="AY767">
            <v>0</v>
          </cell>
          <cell r="AZ767">
            <v>0</v>
          </cell>
          <cell r="BA767">
            <v>0</v>
          </cell>
          <cell r="BD767" t="str">
            <v/>
          </cell>
          <cell r="BE767">
            <v>1</v>
          </cell>
          <cell r="BG767" t="str">
            <v>1100</v>
          </cell>
        </row>
        <row r="768">
          <cell r="B768" t="str">
            <v>G152120206101100</v>
          </cell>
          <cell r="C768" t="str">
            <v>15.新潟県</v>
          </cell>
          <cell r="D768" t="str">
            <v>212</v>
          </cell>
          <cell r="E768" t="str">
            <v>村上市</v>
          </cell>
          <cell r="F768" t="str">
            <v>02</v>
          </cell>
          <cell r="G768" t="str">
            <v>特環 単独</v>
          </cell>
          <cell r="H768" t="str">
            <v>特定環境保全公共下水道</v>
          </cell>
          <cell r="I768" t="str">
            <v>単独</v>
          </cell>
          <cell r="J768" t="str">
            <v>011</v>
          </cell>
          <cell r="K768" t="str">
            <v>山北下水道管理センター</v>
          </cell>
          <cell r="N768" t="str">
            <v>1</v>
          </cell>
          <cell r="Q768">
            <v>38412</v>
          </cell>
          <cell r="R768" t="str">
            <v>平成</v>
          </cell>
          <cell r="S768">
            <v>17</v>
          </cell>
          <cell r="T768">
            <v>3</v>
          </cell>
          <cell r="AB768">
            <v>2624</v>
          </cell>
          <cell r="AC768" t="str">
            <v>該当しない</v>
          </cell>
          <cell r="AI768" t="str">
            <v>該当しない</v>
          </cell>
          <cell r="AQ768" t="str">
            <v/>
          </cell>
          <cell r="AR768" t="str">
            <v/>
          </cell>
          <cell r="AS768" t="str">
            <v>1521202011</v>
          </cell>
          <cell r="AT768" t="str">
            <v/>
          </cell>
          <cell r="AU768" t="str">
            <v>10</v>
          </cell>
          <cell r="AV768" t="str">
            <v>10</v>
          </cell>
          <cell r="AW768">
            <v>0</v>
          </cell>
          <cell r="AX768">
            <v>0</v>
          </cell>
          <cell r="AY768">
            <v>0</v>
          </cell>
          <cell r="AZ768">
            <v>0</v>
          </cell>
          <cell r="BA768">
            <v>0</v>
          </cell>
          <cell r="BD768" t="str">
            <v/>
          </cell>
          <cell r="BE768">
            <v>1</v>
          </cell>
          <cell r="BG768" t="str">
            <v>0100</v>
          </cell>
        </row>
        <row r="769">
          <cell r="B769" t="str">
            <v>G152130106100100</v>
          </cell>
          <cell r="C769" t="str">
            <v>15.新潟県</v>
          </cell>
          <cell r="D769" t="str">
            <v>213</v>
          </cell>
          <cell r="E769" t="str">
            <v>燕市</v>
          </cell>
          <cell r="F769" t="str">
            <v>01</v>
          </cell>
          <cell r="G769" t="str">
            <v>公共 単独</v>
          </cell>
          <cell r="H769" t="str">
            <v>公共下水道</v>
          </cell>
          <cell r="I769" t="str">
            <v>単独</v>
          </cell>
          <cell r="J769" t="str">
            <v>001</v>
          </cell>
          <cell r="K769" t="str">
            <v>燕市下水終末処理場</v>
          </cell>
          <cell r="M769" t="str">
            <v>1</v>
          </cell>
          <cell r="N769" t="str">
            <v>1</v>
          </cell>
          <cell r="Q769">
            <v>28856</v>
          </cell>
          <cell r="R769" t="str">
            <v>昭和</v>
          </cell>
          <cell r="S769">
            <v>54</v>
          </cell>
          <cell r="T769">
            <v>1</v>
          </cell>
          <cell r="AB769">
            <v>41622</v>
          </cell>
          <cell r="AC769" t="str">
            <v>大通川</v>
          </cell>
          <cell r="AD769" t="str">
            <v>Ｃ</v>
          </cell>
          <cell r="AE769" t="str">
            <v>ロ</v>
          </cell>
          <cell r="AF769">
            <v>15</v>
          </cell>
          <cell r="AK769" t="str">
            <v>大通川</v>
          </cell>
          <cell r="AQ769" t="str">
            <v/>
          </cell>
          <cell r="AR769" t="str">
            <v>標準活性汚泥法</v>
          </cell>
          <cell r="AS769" t="str">
            <v>1521301001</v>
          </cell>
          <cell r="AT769" t="str">
            <v/>
          </cell>
          <cell r="AU769" t="str">
            <v>10</v>
          </cell>
          <cell r="AV769" t="str">
            <v>10</v>
          </cell>
          <cell r="AW769">
            <v>0</v>
          </cell>
          <cell r="AX769">
            <v>0</v>
          </cell>
          <cell r="AY769">
            <v>0</v>
          </cell>
          <cell r="AZ769">
            <v>0</v>
          </cell>
          <cell r="BA769">
            <v>0</v>
          </cell>
          <cell r="BD769" t="str">
            <v/>
          </cell>
          <cell r="BE769">
            <v>1</v>
          </cell>
          <cell r="BG769" t="str">
            <v>1100</v>
          </cell>
        </row>
        <row r="770">
          <cell r="B770" t="str">
            <v>G152160106100100</v>
          </cell>
          <cell r="C770" t="str">
            <v>15.新潟県</v>
          </cell>
          <cell r="D770" t="str">
            <v>216</v>
          </cell>
          <cell r="E770" t="str">
            <v>糸魚川市</v>
          </cell>
          <cell r="F770" t="str">
            <v>01</v>
          </cell>
          <cell r="G770" t="str">
            <v>公共 単独</v>
          </cell>
          <cell r="H770" t="str">
            <v>公共下水道</v>
          </cell>
          <cell r="I770" t="str">
            <v>単独</v>
          </cell>
          <cell r="J770" t="str">
            <v>001</v>
          </cell>
          <cell r="K770" t="str">
            <v>青海浄化センター</v>
          </cell>
          <cell r="M770" t="str">
            <v>1</v>
          </cell>
          <cell r="N770" t="str">
            <v>1</v>
          </cell>
          <cell r="Q770">
            <v>32599</v>
          </cell>
          <cell r="R770" t="str">
            <v>平成</v>
          </cell>
          <cell r="S770">
            <v>1</v>
          </cell>
          <cell r="T770">
            <v>4</v>
          </cell>
          <cell r="AB770">
            <v>12040</v>
          </cell>
          <cell r="AC770" t="str">
            <v>西頸城地先区域</v>
          </cell>
          <cell r="AD770" t="str">
            <v>Ａ</v>
          </cell>
          <cell r="AE770" t="str">
            <v>イ</v>
          </cell>
          <cell r="AF770">
            <v>15</v>
          </cell>
          <cell r="AJ770" t="str">
            <v>八千川</v>
          </cell>
          <cell r="AQ770" t="str">
            <v/>
          </cell>
          <cell r="AR770" t="str">
            <v>回転生物接触法</v>
          </cell>
          <cell r="AS770" t="str">
            <v>1521601001</v>
          </cell>
          <cell r="AT770" t="str">
            <v/>
          </cell>
          <cell r="AU770" t="str">
            <v>10</v>
          </cell>
          <cell r="AV770" t="str">
            <v>10</v>
          </cell>
          <cell r="AW770">
            <v>0</v>
          </cell>
          <cell r="AX770">
            <v>0</v>
          </cell>
          <cell r="AY770">
            <v>0</v>
          </cell>
          <cell r="AZ770">
            <v>0</v>
          </cell>
          <cell r="BA770">
            <v>0</v>
          </cell>
          <cell r="BD770" t="str">
            <v/>
          </cell>
          <cell r="BE770">
            <v>1</v>
          </cell>
          <cell r="BG770" t="str">
            <v>1100</v>
          </cell>
        </row>
        <row r="771">
          <cell r="B771" t="str">
            <v>G152160106100200</v>
          </cell>
          <cell r="C771" t="str">
            <v>15.新潟県</v>
          </cell>
          <cell r="D771" t="str">
            <v>216</v>
          </cell>
          <cell r="E771" t="str">
            <v>糸魚川市</v>
          </cell>
          <cell r="F771" t="str">
            <v>01</v>
          </cell>
          <cell r="G771" t="str">
            <v>公共 単独</v>
          </cell>
          <cell r="H771" t="str">
            <v>公共下水道</v>
          </cell>
          <cell r="I771" t="str">
            <v>単独</v>
          </cell>
          <cell r="J771" t="str">
            <v>002</v>
          </cell>
          <cell r="K771" t="str">
            <v>糸魚川浄化センター</v>
          </cell>
          <cell r="M771" t="str">
            <v>1</v>
          </cell>
          <cell r="N771" t="str">
            <v>1</v>
          </cell>
          <cell r="P771" t="str">
            <v>1</v>
          </cell>
          <cell r="Q771">
            <v>34029</v>
          </cell>
          <cell r="R771" t="str">
            <v>平成</v>
          </cell>
          <cell r="S771">
            <v>5</v>
          </cell>
          <cell r="T771">
            <v>3</v>
          </cell>
          <cell r="AB771">
            <v>36200</v>
          </cell>
          <cell r="AC771" t="str">
            <v>西頸城地先区域</v>
          </cell>
          <cell r="AD771" t="str">
            <v>Ａ</v>
          </cell>
          <cell r="AE771" t="str">
            <v>イ</v>
          </cell>
          <cell r="AF771">
            <v>15</v>
          </cell>
          <cell r="AI771" t="str">
            <v>竹ヶ花川</v>
          </cell>
          <cell r="AJ771" t="str">
            <v>海川</v>
          </cell>
          <cell r="AQ771" t="str">
            <v/>
          </cell>
          <cell r="AR771" t="str">
            <v>標準活性汚泥法</v>
          </cell>
          <cell r="AS771" t="str">
            <v>1521601002</v>
          </cell>
          <cell r="AT771" t="str">
            <v/>
          </cell>
          <cell r="AU771" t="str">
            <v>10</v>
          </cell>
          <cell r="AV771" t="str">
            <v>10</v>
          </cell>
          <cell r="AW771">
            <v>1</v>
          </cell>
          <cell r="AX771">
            <v>0</v>
          </cell>
          <cell r="AY771">
            <v>0</v>
          </cell>
          <cell r="AZ771">
            <v>0</v>
          </cell>
          <cell r="BA771">
            <v>0</v>
          </cell>
          <cell r="BD771" t="str">
            <v/>
          </cell>
          <cell r="BE771">
            <v>1</v>
          </cell>
          <cell r="BG771" t="str">
            <v>1101</v>
          </cell>
        </row>
        <row r="772">
          <cell r="B772" t="str">
            <v>G152160206100300</v>
          </cell>
          <cell r="C772" t="str">
            <v>15.新潟県</v>
          </cell>
          <cell r="D772" t="str">
            <v>216</v>
          </cell>
          <cell r="E772" t="str">
            <v>糸魚川市</v>
          </cell>
          <cell r="F772" t="str">
            <v>02</v>
          </cell>
          <cell r="G772" t="str">
            <v>特環 単独</v>
          </cell>
          <cell r="H772" t="str">
            <v>特定環境保全公共下水道</v>
          </cell>
          <cell r="I772" t="str">
            <v>単独</v>
          </cell>
          <cell r="J772" t="str">
            <v>003</v>
          </cell>
          <cell r="K772" t="str">
            <v>能生浄化センター</v>
          </cell>
          <cell r="M772" t="str">
            <v>1</v>
          </cell>
          <cell r="N772" t="str">
            <v>1</v>
          </cell>
          <cell r="Q772">
            <v>32222</v>
          </cell>
          <cell r="R772" t="str">
            <v>昭和</v>
          </cell>
          <cell r="S772">
            <v>63</v>
          </cell>
          <cell r="T772">
            <v>3</v>
          </cell>
          <cell r="AB772">
            <v>7500</v>
          </cell>
          <cell r="AC772" t="str">
            <v>西頚城地先区域</v>
          </cell>
          <cell r="AD772" t="str">
            <v>Ａ</v>
          </cell>
          <cell r="AE772" t="str">
            <v>イ</v>
          </cell>
          <cell r="AF772">
            <v>15</v>
          </cell>
          <cell r="AI772" t="str">
            <v>出村川</v>
          </cell>
          <cell r="AJ772" t="str">
            <v>能生川</v>
          </cell>
          <cell r="AL772" t="str">
            <v>鷲尾水源</v>
          </cell>
          <cell r="AM772">
            <v>4</v>
          </cell>
          <cell r="AO772" t="str">
            <v>糸魚川市</v>
          </cell>
          <cell r="AQ772" t="str">
            <v/>
          </cell>
          <cell r="AR772" t="str">
            <v>回転生物接触法</v>
          </cell>
          <cell r="AS772" t="str">
            <v>1521602003</v>
          </cell>
          <cell r="AT772" t="str">
            <v/>
          </cell>
          <cell r="AU772" t="str">
            <v>10</v>
          </cell>
          <cell r="AV772" t="str">
            <v>10</v>
          </cell>
          <cell r="AW772">
            <v>0</v>
          </cell>
          <cell r="AX772">
            <v>0</v>
          </cell>
          <cell r="AY772">
            <v>0</v>
          </cell>
          <cell r="AZ772">
            <v>0</v>
          </cell>
          <cell r="BA772">
            <v>0</v>
          </cell>
          <cell r="BD772" t="str">
            <v/>
          </cell>
          <cell r="BE772">
            <v>1</v>
          </cell>
          <cell r="BG772" t="str">
            <v>1100</v>
          </cell>
        </row>
        <row r="773">
          <cell r="B773" t="str">
            <v>G152160206100400</v>
          </cell>
          <cell r="C773" t="str">
            <v>15.新潟県</v>
          </cell>
          <cell r="D773" t="str">
            <v>216</v>
          </cell>
          <cell r="E773" t="str">
            <v>糸魚川市</v>
          </cell>
          <cell r="F773" t="str">
            <v>02</v>
          </cell>
          <cell r="G773" t="str">
            <v>特環 単独</v>
          </cell>
          <cell r="H773" t="str">
            <v>特定環境保全公共下水道</v>
          </cell>
          <cell r="I773" t="str">
            <v>単独</v>
          </cell>
          <cell r="J773" t="str">
            <v>004</v>
          </cell>
          <cell r="K773" t="str">
            <v>川崎浄化センター</v>
          </cell>
          <cell r="M773" t="str">
            <v>1</v>
          </cell>
          <cell r="N773" t="str">
            <v>1</v>
          </cell>
          <cell r="Q773">
            <v>33399</v>
          </cell>
          <cell r="R773" t="str">
            <v>平成</v>
          </cell>
          <cell r="S773">
            <v>3</v>
          </cell>
          <cell r="T773">
            <v>6</v>
          </cell>
          <cell r="AB773">
            <v>1000</v>
          </cell>
          <cell r="AC773" t="str">
            <v>西頸城地先区域</v>
          </cell>
          <cell r="AD773" t="str">
            <v>Ａ</v>
          </cell>
          <cell r="AE773" t="str">
            <v>イ</v>
          </cell>
          <cell r="AF773">
            <v>15</v>
          </cell>
          <cell r="AI773" t="str">
            <v>濁澄川</v>
          </cell>
          <cell r="AQ773" t="str">
            <v/>
          </cell>
          <cell r="AR773" t="str">
            <v>回分式活性汚泥法</v>
          </cell>
          <cell r="AS773" t="str">
            <v>1521602004</v>
          </cell>
          <cell r="AT773" t="str">
            <v/>
          </cell>
          <cell r="AU773" t="str">
            <v>10</v>
          </cell>
          <cell r="AV773" t="str">
            <v>10</v>
          </cell>
          <cell r="AW773">
            <v>0</v>
          </cell>
          <cell r="AX773">
            <v>0</v>
          </cell>
          <cell r="AY773">
            <v>0</v>
          </cell>
          <cell r="AZ773">
            <v>0</v>
          </cell>
          <cell r="BA773">
            <v>0</v>
          </cell>
          <cell r="BD773" t="str">
            <v/>
          </cell>
          <cell r="BE773">
            <v>1</v>
          </cell>
          <cell r="BG773" t="str">
            <v>1100</v>
          </cell>
        </row>
        <row r="774">
          <cell r="B774" t="str">
            <v>G152170106100100</v>
          </cell>
          <cell r="C774" t="str">
            <v>15.新潟県</v>
          </cell>
          <cell r="D774" t="str">
            <v>217</v>
          </cell>
          <cell r="E774" t="str">
            <v>妙高市</v>
          </cell>
          <cell r="F774" t="str">
            <v>01</v>
          </cell>
          <cell r="G774" t="str">
            <v>公共 単独</v>
          </cell>
          <cell r="H774" t="str">
            <v>公共下水道</v>
          </cell>
          <cell r="I774" t="str">
            <v>単独</v>
          </cell>
          <cell r="J774" t="str">
            <v>001</v>
          </cell>
          <cell r="K774" t="str">
            <v>新井浄化センター</v>
          </cell>
          <cell r="M774" t="str">
            <v>1</v>
          </cell>
          <cell r="N774" t="str">
            <v>1</v>
          </cell>
          <cell r="Q774">
            <v>32690</v>
          </cell>
          <cell r="R774" t="str">
            <v>平成</v>
          </cell>
          <cell r="S774">
            <v>1</v>
          </cell>
          <cell r="T774">
            <v>7</v>
          </cell>
          <cell r="V774">
            <v>38808</v>
          </cell>
          <cell r="W774" t="str">
            <v>平成</v>
          </cell>
          <cell r="X774">
            <v>18</v>
          </cell>
          <cell r="Y774">
            <v>4</v>
          </cell>
          <cell r="Z774" t="str">
            <v>新井市浄化センター</v>
          </cell>
          <cell r="AB774">
            <v>39600</v>
          </cell>
          <cell r="AC774" t="str">
            <v>関川</v>
          </cell>
          <cell r="AD774" t="str">
            <v>Ｂ</v>
          </cell>
          <cell r="AF774">
            <v>15</v>
          </cell>
          <cell r="AI774" t="str">
            <v>関川</v>
          </cell>
          <cell r="AK774" t="str">
            <v>関川</v>
          </cell>
          <cell r="AQ774" t="str">
            <v/>
          </cell>
          <cell r="AR774" t="str">
            <v>標準活性汚泥法</v>
          </cell>
          <cell r="AS774" t="str">
            <v>1521701001</v>
          </cell>
          <cell r="AT774" t="str">
            <v/>
          </cell>
          <cell r="AU774" t="str">
            <v>10</v>
          </cell>
          <cell r="AV774" t="str">
            <v>10</v>
          </cell>
          <cell r="AW774">
            <v>0</v>
          </cell>
          <cell r="AX774">
            <v>0</v>
          </cell>
          <cell r="AY774">
            <v>0</v>
          </cell>
          <cell r="AZ774">
            <v>0</v>
          </cell>
          <cell r="BA774">
            <v>0</v>
          </cell>
          <cell r="BD774" t="str">
            <v/>
          </cell>
          <cell r="BE774">
            <v>1</v>
          </cell>
          <cell r="BG774" t="str">
            <v>1100</v>
          </cell>
        </row>
        <row r="775">
          <cell r="B775" t="str">
            <v>G152170206100200</v>
          </cell>
          <cell r="C775" t="str">
            <v>15.新潟県</v>
          </cell>
          <cell r="D775" t="str">
            <v>217</v>
          </cell>
          <cell r="E775" t="str">
            <v>妙高市</v>
          </cell>
          <cell r="F775" t="str">
            <v>02</v>
          </cell>
          <cell r="G775" t="str">
            <v>特環 単独</v>
          </cell>
          <cell r="H775" t="str">
            <v>特定環境保全公共下水道</v>
          </cell>
          <cell r="I775" t="str">
            <v>単独</v>
          </cell>
          <cell r="J775" t="str">
            <v>002</v>
          </cell>
          <cell r="K775" t="str">
            <v>赤倉浄化センター</v>
          </cell>
          <cell r="M775" t="str">
            <v>1</v>
          </cell>
          <cell r="N775" t="str">
            <v>1</v>
          </cell>
          <cell r="P775" t="str">
            <v>1</v>
          </cell>
          <cell r="Q775">
            <v>32417</v>
          </cell>
          <cell r="R775" t="str">
            <v>昭和</v>
          </cell>
          <cell r="S775">
            <v>63</v>
          </cell>
          <cell r="T775">
            <v>10</v>
          </cell>
          <cell r="AB775">
            <v>5592</v>
          </cell>
          <cell r="AC775" t="str">
            <v>関川</v>
          </cell>
          <cell r="AD775" t="str">
            <v>Ａ</v>
          </cell>
          <cell r="AF775">
            <v>20</v>
          </cell>
          <cell r="AI775" t="str">
            <v>郷田切川</v>
          </cell>
          <cell r="AL775" t="str">
            <v>関川</v>
          </cell>
          <cell r="AQ775" t="str">
            <v/>
          </cell>
          <cell r="AR775" t="str">
            <v>回転生物接触法</v>
          </cell>
          <cell r="AS775" t="str">
            <v>1521702002</v>
          </cell>
          <cell r="AT775" t="str">
            <v/>
          </cell>
          <cell r="AU775" t="str">
            <v>10</v>
          </cell>
          <cell r="AV775" t="str">
            <v>10</v>
          </cell>
          <cell r="AW775">
            <v>1</v>
          </cell>
          <cell r="AX775">
            <v>0</v>
          </cell>
          <cell r="AY775">
            <v>0</v>
          </cell>
          <cell r="AZ775">
            <v>0</v>
          </cell>
          <cell r="BA775">
            <v>0</v>
          </cell>
          <cell r="BD775" t="str">
            <v/>
          </cell>
          <cell r="BE775">
            <v>1</v>
          </cell>
          <cell r="BG775" t="str">
            <v>1101</v>
          </cell>
        </row>
        <row r="776">
          <cell r="B776" t="str">
            <v>G152170206100300</v>
          </cell>
          <cell r="C776" t="str">
            <v>15.新潟県</v>
          </cell>
          <cell r="D776" t="str">
            <v>217</v>
          </cell>
          <cell r="E776" t="str">
            <v>妙高市</v>
          </cell>
          <cell r="F776" t="str">
            <v>02</v>
          </cell>
          <cell r="G776" t="str">
            <v>特環 単独</v>
          </cell>
          <cell r="H776" t="str">
            <v>特定環境保全公共下水道</v>
          </cell>
          <cell r="I776" t="str">
            <v>単独</v>
          </cell>
          <cell r="J776" t="str">
            <v>003</v>
          </cell>
          <cell r="K776" t="str">
            <v>池の平浄化センター</v>
          </cell>
          <cell r="M776" t="str">
            <v>1</v>
          </cell>
          <cell r="N776" t="str">
            <v>1</v>
          </cell>
          <cell r="Q776">
            <v>35704</v>
          </cell>
          <cell r="R776" t="str">
            <v>平成</v>
          </cell>
          <cell r="S776">
            <v>9</v>
          </cell>
          <cell r="T776">
            <v>10</v>
          </cell>
          <cell r="AB776">
            <v>3699</v>
          </cell>
          <cell r="AC776" t="str">
            <v>関川</v>
          </cell>
          <cell r="AF776">
            <v>15</v>
          </cell>
          <cell r="AI776" t="str">
            <v>雁沢川</v>
          </cell>
          <cell r="AK776" t="str">
            <v>関川</v>
          </cell>
          <cell r="AQ776" t="str">
            <v/>
          </cell>
          <cell r="AR776" t="str">
            <v>回分式活性汚泥法</v>
          </cell>
          <cell r="AS776" t="str">
            <v>1521702003</v>
          </cell>
          <cell r="AT776" t="str">
            <v/>
          </cell>
          <cell r="AU776" t="str">
            <v>10</v>
          </cell>
          <cell r="AV776" t="str">
            <v>10</v>
          </cell>
          <cell r="AW776">
            <v>0</v>
          </cell>
          <cell r="AX776">
            <v>0</v>
          </cell>
          <cell r="AY776">
            <v>0</v>
          </cell>
          <cell r="AZ776">
            <v>0</v>
          </cell>
          <cell r="BA776">
            <v>0</v>
          </cell>
          <cell r="BD776" t="str">
            <v/>
          </cell>
          <cell r="BE776">
            <v>1</v>
          </cell>
          <cell r="BG776" t="str">
            <v>1100</v>
          </cell>
        </row>
        <row r="777">
          <cell r="B777" t="str">
            <v>G152170206100400</v>
          </cell>
          <cell r="C777" t="str">
            <v>15.新潟県</v>
          </cell>
          <cell r="D777" t="str">
            <v>217</v>
          </cell>
          <cell r="E777" t="str">
            <v>妙高市</v>
          </cell>
          <cell r="F777" t="str">
            <v>02</v>
          </cell>
          <cell r="G777" t="str">
            <v>特環 単独</v>
          </cell>
          <cell r="H777" t="str">
            <v>特定環境保全公共下水道</v>
          </cell>
          <cell r="I777" t="str">
            <v>単独</v>
          </cell>
          <cell r="J777" t="str">
            <v>004</v>
          </cell>
          <cell r="K777" t="str">
            <v>妙高アクアクリーンセンター</v>
          </cell>
          <cell r="M777" t="str">
            <v>1</v>
          </cell>
          <cell r="N777" t="str">
            <v>1</v>
          </cell>
          <cell r="Q777">
            <v>35886</v>
          </cell>
          <cell r="R777" t="str">
            <v>平成</v>
          </cell>
          <cell r="S777">
            <v>10</v>
          </cell>
          <cell r="T777">
            <v>4</v>
          </cell>
          <cell r="AB777">
            <v>7105</v>
          </cell>
          <cell r="AC777" t="str">
            <v>関川</v>
          </cell>
          <cell r="AD777" t="str">
            <v>Ａ</v>
          </cell>
          <cell r="AF777">
            <v>15</v>
          </cell>
          <cell r="AI777" t="str">
            <v>御房川</v>
          </cell>
          <cell r="AL777" t="str">
            <v>関川</v>
          </cell>
          <cell r="AQ777" t="str">
            <v/>
          </cell>
          <cell r="AR777" t="str">
            <v>オキシディションディッチ法</v>
          </cell>
          <cell r="AS777" t="str">
            <v>1521702004</v>
          </cell>
          <cell r="AT777" t="str">
            <v/>
          </cell>
          <cell r="AU777" t="str">
            <v>10</v>
          </cell>
          <cell r="AV777" t="str">
            <v>10</v>
          </cell>
          <cell r="AW777">
            <v>0</v>
          </cell>
          <cell r="AX777">
            <v>0</v>
          </cell>
          <cell r="AY777">
            <v>0</v>
          </cell>
          <cell r="AZ777">
            <v>0</v>
          </cell>
          <cell r="BA777">
            <v>0</v>
          </cell>
          <cell r="BD777" t="str">
            <v/>
          </cell>
          <cell r="BE777">
            <v>1</v>
          </cell>
          <cell r="BG777" t="str">
            <v>1100</v>
          </cell>
        </row>
        <row r="778">
          <cell r="B778" t="str">
            <v>G152220106100100</v>
          </cell>
          <cell r="C778" t="str">
            <v>15.新潟県</v>
          </cell>
          <cell r="D778" t="str">
            <v>222</v>
          </cell>
          <cell r="E778" t="str">
            <v>上越市</v>
          </cell>
          <cell r="F778" t="str">
            <v>01</v>
          </cell>
          <cell r="G778" t="str">
            <v>公共 単独</v>
          </cell>
          <cell r="H778" t="str">
            <v>公共下水道</v>
          </cell>
          <cell r="I778" t="str">
            <v>単独</v>
          </cell>
          <cell r="J778" t="str">
            <v>001</v>
          </cell>
          <cell r="K778" t="str">
            <v>上越市下水道センター</v>
          </cell>
          <cell r="M778" t="str">
            <v>1</v>
          </cell>
          <cell r="N778" t="str">
            <v>1</v>
          </cell>
          <cell r="Q778">
            <v>32568</v>
          </cell>
          <cell r="R778" t="str">
            <v>平成</v>
          </cell>
          <cell r="S778">
            <v>1</v>
          </cell>
          <cell r="T778">
            <v>3</v>
          </cell>
          <cell r="AB778">
            <v>137778</v>
          </cell>
          <cell r="AC778" t="str">
            <v>関川</v>
          </cell>
          <cell r="AD778" t="str">
            <v>Ｂ</v>
          </cell>
          <cell r="AE778" t="str">
            <v>イ</v>
          </cell>
          <cell r="AF778">
            <v>15</v>
          </cell>
          <cell r="AK778" t="str">
            <v>関川</v>
          </cell>
          <cell r="AQ778" t="str">
            <v/>
          </cell>
          <cell r="AR778" t="str">
            <v>標準活性汚泥法</v>
          </cell>
          <cell r="AS778" t="str">
            <v>1522201001</v>
          </cell>
          <cell r="AT778" t="str">
            <v/>
          </cell>
          <cell r="AU778" t="str">
            <v>10</v>
          </cell>
          <cell r="AV778" t="str">
            <v>10</v>
          </cell>
          <cell r="AW778">
            <v>0</v>
          </cell>
          <cell r="AX778">
            <v>0</v>
          </cell>
          <cell r="AY778">
            <v>0</v>
          </cell>
          <cell r="AZ778">
            <v>0</v>
          </cell>
          <cell r="BA778">
            <v>0</v>
          </cell>
          <cell r="BD778" t="str">
            <v/>
          </cell>
          <cell r="BE778">
            <v>1</v>
          </cell>
          <cell r="BG778" t="str">
            <v>1100</v>
          </cell>
        </row>
        <row r="779">
          <cell r="B779" t="str">
            <v>G152220106100200</v>
          </cell>
          <cell r="C779" t="str">
            <v>15.新潟県</v>
          </cell>
          <cell r="D779" t="str">
            <v>222</v>
          </cell>
          <cell r="E779" t="str">
            <v>上越市</v>
          </cell>
          <cell r="F779" t="str">
            <v>01</v>
          </cell>
          <cell r="G779" t="str">
            <v>公共 単独</v>
          </cell>
          <cell r="H779" t="str">
            <v>公共下水道</v>
          </cell>
          <cell r="I779" t="str">
            <v>単独</v>
          </cell>
          <cell r="J779" t="str">
            <v>002</v>
          </cell>
          <cell r="K779" t="str">
            <v>柿崎浄化センター</v>
          </cell>
          <cell r="M779" t="str">
            <v>1</v>
          </cell>
          <cell r="N779" t="str">
            <v>1</v>
          </cell>
          <cell r="Q779">
            <v>36831</v>
          </cell>
          <cell r="R779" t="str">
            <v>平成</v>
          </cell>
          <cell r="S779">
            <v>12</v>
          </cell>
          <cell r="T779">
            <v>11</v>
          </cell>
          <cell r="AB779">
            <v>29667</v>
          </cell>
          <cell r="AC779" t="str">
            <v>柿崎川</v>
          </cell>
          <cell r="AD779" t="str">
            <v>Ａ</v>
          </cell>
          <cell r="AE779" t="str">
            <v>イ</v>
          </cell>
          <cell r="AF779">
            <v>15</v>
          </cell>
          <cell r="AJ779" t="str">
            <v>柿崎川</v>
          </cell>
          <cell r="AQ779" t="str">
            <v/>
          </cell>
          <cell r="AR779" t="str">
            <v>オキシディションディッチ法</v>
          </cell>
          <cell r="AS779" t="str">
            <v>1522201002</v>
          </cell>
          <cell r="AT779" t="str">
            <v/>
          </cell>
          <cell r="AU779" t="str">
            <v>10</v>
          </cell>
          <cell r="AV779" t="str">
            <v>10</v>
          </cell>
          <cell r="AW779">
            <v>0</v>
          </cell>
          <cell r="AX779">
            <v>0</v>
          </cell>
          <cell r="AY779">
            <v>0</v>
          </cell>
          <cell r="AZ779">
            <v>0</v>
          </cell>
          <cell r="BA779">
            <v>0</v>
          </cell>
          <cell r="BD779" t="str">
            <v/>
          </cell>
          <cell r="BE779">
            <v>1</v>
          </cell>
          <cell r="BG779" t="str">
            <v>1100</v>
          </cell>
        </row>
        <row r="780">
          <cell r="B780" t="str">
            <v>G152220106100300</v>
          </cell>
          <cell r="C780" t="str">
            <v>15.新潟県</v>
          </cell>
          <cell r="D780" t="str">
            <v>222</v>
          </cell>
          <cell r="E780" t="str">
            <v>上越市</v>
          </cell>
          <cell r="F780" t="str">
            <v>01</v>
          </cell>
          <cell r="G780" t="str">
            <v>公共 単独</v>
          </cell>
          <cell r="H780" t="str">
            <v>公共下水道</v>
          </cell>
          <cell r="I780" t="str">
            <v>単独</v>
          </cell>
          <cell r="J780" t="str">
            <v>003</v>
          </cell>
          <cell r="K780" t="str">
            <v>大潟浄化センター</v>
          </cell>
          <cell r="M780" t="str">
            <v>1</v>
          </cell>
          <cell r="N780" t="str">
            <v>1</v>
          </cell>
          <cell r="Q780">
            <v>39142</v>
          </cell>
          <cell r="R780" t="str">
            <v>平成</v>
          </cell>
          <cell r="S780">
            <v>19</v>
          </cell>
          <cell r="T780">
            <v>3</v>
          </cell>
          <cell r="AB780">
            <v>14900</v>
          </cell>
          <cell r="AC780" t="str">
            <v>日本海</v>
          </cell>
          <cell r="AD780" t="str">
            <v>Ａ</v>
          </cell>
          <cell r="AE780" t="str">
            <v>イ</v>
          </cell>
          <cell r="AF780">
            <v>15</v>
          </cell>
          <cell r="AI780" t="str">
            <v>日本海</v>
          </cell>
          <cell r="AQ780" t="str">
            <v/>
          </cell>
          <cell r="AR780" t="str">
            <v>オキシディションディッチ法</v>
          </cell>
          <cell r="AS780" t="str">
            <v>1522201003</v>
          </cell>
          <cell r="AT780" t="str">
            <v/>
          </cell>
          <cell r="AU780" t="str">
            <v>10</v>
          </cell>
          <cell r="AV780" t="str">
            <v>10</v>
          </cell>
          <cell r="AW780">
            <v>0</v>
          </cell>
          <cell r="AX780">
            <v>0</v>
          </cell>
          <cell r="AY780">
            <v>0</v>
          </cell>
          <cell r="AZ780">
            <v>0</v>
          </cell>
          <cell r="BA780">
            <v>0</v>
          </cell>
          <cell r="BD780" t="str">
            <v/>
          </cell>
          <cell r="BE780">
            <v>1</v>
          </cell>
          <cell r="BG780" t="str">
            <v>1100</v>
          </cell>
        </row>
        <row r="781">
          <cell r="B781" t="str">
            <v>G152220206100400</v>
          </cell>
          <cell r="C781" t="str">
            <v>15.新潟県</v>
          </cell>
          <cell r="D781" t="str">
            <v>222</v>
          </cell>
          <cell r="E781" t="str">
            <v>上越市</v>
          </cell>
          <cell r="F781" t="str">
            <v>02</v>
          </cell>
          <cell r="G781" t="str">
            <v>特環 単独</v>
          </cell>
          <cell r="H781" t="str">
            <v>特定環境保全公共下水道</v>
          </cell>
          <cell r="I781" t="str">
            <v>単独</v>
          </cell>
          <cell r="J781" t="str">
            <v>004</v>
          </cell>
          <cell r="K781" t="str">
            <v>名立浄化センター</v>
          </cell>
          <cell r="M781" t="str">
            <v>1</v>
          </cell>
          <cell r="N781" t="str">
            <v>1</v>
          </cell>
          <cell r="Q781">
            <v>34973</v>
          </cell>
          <cell r="R781" t="str">
            <v>平成</v>
          </cell>
          <cell r="S781">
            <v>7</v>
          </cell>
          <cell r="T781">
            <v>10</v>
          </cell>
          <cell r="AB781">
            <v>3785</v>
          </cell>
          <cell r="AI781" t="str">
            <v>江野谷川</v>
          </cell>
          <cell r="AQ781" t="str">
            <v/>
          </cell>
          <cell r="AR781" t="str">
            <v>オキシディションディッチ法</v>
          </cell>
          <cell r="AS781" t="str">
            <v>1522202004</v>
          </cell>
          <cell r="AT781" t="str">
            <v/>
          </cell>
          <cell r="AU781" t="str">
            <v>10</v>
          </cell>
          <cell r="AV781" t="str">
            <v>10</v>
          </cell>
          <cell r="AW781">
            <v>0</v>
          </cell>
          <cell r="AX781">
            <v>0</v>
          </cell>
          <cell r="AY781">
            <v>0</v>
          </cell>
          <cell r="AZ781">
            <v>0</v>
          </cell>
          <cell r="BA781">
            <v>0</v>
          </cell>
          <cell r="BD781" t="str">
            <v/>
          </cell>
          <cell r="BE781">
            <v>1</v>
          </cell>
          <cell r="BG781" t="str">
            <v>1100</v>
          </cell>
        </row>
        <row r="782">
          <cell r="B782" t="str">
            <v>G152220206100500</v>
          </cell>
          <cell r="C782" t="str">
            <v>15.新潟県</v>
          </cell>
          <cell r="D782" t="str">
            <v>222</v>
          </cell>
          <cell r="E782" t="str">
            <v>上越市</v>
          </cell>
          <cell r="F782" t="str">
            <v>02</v>
          </cell>
          <cell r="G782" t="str">
            <v>特環 単独</v>
          </cell>
          <cell r="H782" t="str">
            <v>特定環境保全公共下水道</v>
          </cell>
          <cell r="I782" t="str">
            <v>単独</v>
          </cell>
          <cell r="J782" t="str">
            <v>005</v>
          </cell>
          <cell r="K782" t="str">
            <v>板倉浄化センター</v>
          </cell>
          <cell r="M782" t="str">
            <v>1</v>
          </cell>
          <cell r="N782" t="str">
            <v>1</v>
          </cell>
          <cell r="Q782">
            <v>36586</v>
          </cell>
          <cell r="R782" t="str">
            <v>平成</v>
          </cell>
          <cell r="S782">
            <v>12</v>
          </cell>
          <cell r="T782">
            <v>3</v>
          </cell>
          <cell r="AB782">
            <v>13561</v>
          </cell>
          <cell r="AC782" t="str">
            <v>関川</v>
          </cell>
          <cell r="AD782" t="str">
            <v>Ｂ</v>
          </cell>
          <cell r="AE782" t="str">
            <v>イ</v>
          </cell>
          <cell r="AF782">
            <v>15</v>
          </cell>
          <cell r="AK782" t="str">
            <v>関川</v>
          </cell>
          <cell r="AQ782" t="str">
            <v/>
          </cell>
          <cell r="AR782" t="str">
            <v>オキシディションディッチ法</v>
          </cell>
          <cell r="AS782" t="str">
            <v>1522202005</v>
          </cell>
          <cell r="AT782" t="str">
            <v/>
          </cell>
          <cell r="AU782" t="str">
            <v>10</v>
          </cell>
          <cell r="AV782" t="str">
            <v>10</v>
          </cell>
          <cell r="AW782">
            <v>0</v>
          </cell>
          <cell r="AX782">
            <v>0</v>
          </cell>
          <cell r="AY782">
            <v>0</v>
          </cell>
          <cell r="AZ782">
            <v>0</v>
          </cell>
          <cell r="BA782">
            <v>0</v>
          </cell>
          <cell r="BD782" t="str">
            <v/>
          </cell>
          <cell r="BE782">
            <v>1</v>
          </cell>
          <cell r="BG782" t="str">
            <v>1100</v>
          </cell>
        </row>
        <row r="783">
          <cell r="B783" t="str">
            <v>G152220206100600</v>
          </cell>
          <cell r="C783" t="str">
            <v>15.新潟県</v>
          </cell>
          <cell r="D783" t="str">
            <v>222</v>
          </cell>
          <cell r="E783" t="str">
            <v>上越市</v>
          </cell>
          <cell r="F783" t="str">
            <v>02</v>
          </cell>
          <cell r="G783" t="str">
            <v>特環 単独</v>
          </cell>
          <cell r="H783" t="str">
            <v>特定環境保全公共下水道</v>
          </cell>
          <cell r="I783" t="str">
            <v>単独</v>
          </cell>
          <cell r="J783" t="str">
            <v>006</v>
          </cell>
          <cell r="K783" t="str">
            <v>浦川原浄化センター</v>
          </cell>
          <cell r="M783" t="str">
            <v>1</v>
          </cell>
          <cell r="N783" t="str">
            <v>1</v>
          </cell>
          <cell r="Q783">
            <v>36951</v>
          </cell>
          <cell r="R783" t="str">
            <v>平成</v>
          </cell>
          <cell r="S783">
            <v>13</v>
          </cell>
          <cell r="T783">
            <v>3</v>
          </cell>
          <cell r="AB783">
            <v>10600</v>
          </cell>
          <cell r="AC783" t="str">
            <v>保倉川</v>
          </cell>
          <cell r="AD783" t="str">
            <v>Ａ</v>
          </cell>
          <cell r="AE783" t="str">
            <v>イ</v>
          </cell>
          <cell r="AK783" t="str">
            <v>保倉川</v>
          </cell>
          <cell r="AQ783" t="str">
            <v/>
          </cell>
          <cell r="AR783" t="str">
            <v>オキシディションディッチ法</v>
          </cell>
          <cell r="AS783" t="str">
            <v>1522202006</v>
          </cell>
          <cell r="AT783" t="str">
            <v/>
          </cell>
          <cell r="AU783" t="str">
            <v>10</v>
          </cell>
          <cell r="AV783" t="str">
            <v>10</v>
          </cell>
          <cell r="AW783">
            <v>0</v>
          </cell>
          <cell r="AX783">
            <v>0</v>
          </cell>
          <cell r="AY783">
            <v>0</v>
          </cell>
          <cell r="AZ783">
            <v>0</v>
          </cell>
          <cell r="BA783">
            <v>0</v>
          </cell>
          <cell r="BD783" t="str">
            <v/>
          </cell>
          <cell r="BE783">
            <v>1</v>
          </cell>
          <cell r="BG783" t="str">
            <v>1100</v>
          </cell>
        </row>
        <row r="784">
          <cell r="B784" t="str">
            <v>G152220206100700</v>
          </cell>
          <cell r="C784" t="str">
            <v>15.新潟県</v>
          </cell>
          <cell r="D784" t="str">
            <v>222</v>
          </cell>
          <cell r="E784" t="str">
            <v>上越市</v>
          </cell>
          <cell r="F784" t="str">
            <v>02</v>
          </cell>
          <cell r="G784" t="str">
            <v>特環 単独</v>
          </cell>
          <cell r="H784" t="str">
            <v>特定環境保全公共下水道</v>
          </cell>
          <cell r="I784" t="str">
            <v>単独</v>
          </cell>
          <cell r="J784" t="str">
            <v>007</v>
          </cell>
          <cell r="K784" t="str">
            <v>中郷浄化センター</v>
          </cell>
          <cell r="M784" t="str">
            <v>1</v>
          </cell>
          <cell r="N784" t="str">
            <v>1</v>
          </cell>
          <cell r="Q784">
            <v>37469</v>
          </cell>
          <cell r="R784" t="str">
            <v>平成</v>
          </cell>
          <cell r="S784">
            <v>14</v>
          </cell>
          <cell r="T784">
            <v>8</v>
          </cell>
          <cell r="AB784">
            <v>14960</v>
          </cell>
          <cell r="AI784" t="str">
            <v>芋川</v>
          </cell>
          <cell r="AK784" t="str">
            <v>関川</v>
          </cell>
          <cell r="AQ784" t="str">
            <v/>
          </cell>
          <cell r="AR784" t="str">
            <v>オキシディションディッチ法</v>
          </cell>
          <cell r="AS784" t="str">
            <v>1522202007</v>
          </cell>
          <cell r="AT784" t="str">
            <v/>
          </cell>
          <cell r="AU784" t="str">
            <v>10</v>
          </cell>
          <cell r="AV784" t="str">
            <v>10</v>
          </cell>
          <cell r="AW784">
            <v>0</v>
          </cell>
          <cell r="AX784">
            <v>0</v>
          </cell>
          <cell r="AY784">
            <v>0</v>
          </cell>
          <cell r="AZ784">
            <v>0</v>
          </cell>
          <cell r="BA784">
            <v>0</v>
          </cell>
          <cell r="BD784" t="str">
            <v/>
          </cell>
          <cell r="BE784">
            <v>1</v>
          </cell>
          <cell r="BG784" t="str">
            <v>1100</v>
          </cell>
        </row>
        <row r="785">
          <cell r="B785" t="str">
            <v>G152230106100100</v>
          </cell>
          <cell r="C785" t="str">
            <v>15.新潟県</v>
          </cell>
          <cell r="D785" t="str">
            <v>223</v>
          </cell>
          <cell r="E785" t="str">
            <v>阿賀野市</v>
          </cell>
          <cell r="F785" t="str">
            <v>01</v>
          </cell>
          <cell r="G785" t="str">
            <v>公共 単独</v>
          </cell>
          <cell r="H785" t="str">
            <v>公共下水道</v>
          </cell>
          <cell r="I785" t="str">
            <v>単独</v>
          </cell>
          <cell r="J785" t="str">
            <v>001</v>
          </cell>
          <cell r="K785" t="str">
            <v>安田浄化センター</v>
          </cell>
          <cell r="M785" t="str">
            <v>1</v>
          </cell>
          <cell r="N785" t="str">
            <v>1</v>
          </cell>
          <cell r="O785" t="str">
            <v>1</v>
          </cell>
          <cell r="Q785">
            <v>35612</v>
          </cell>
          <cell r="R785" t="str">
            <v>平成</v>
          </cell>
          <cell r="S785">
            <v>9</v>
          </cell>
          <cell r="T785">
            <v>7</v>
          </cell>
          <cell r="AB785">
            <v>20600</v>
          </cell>
          <cell r="AC785" t="str">
            <v>阿賀野川</v>
          </cell>
          <cell r="AD785" t="str">
            <v>Ａ</v>
          </cell>
          <cell r="AE785" t="str">
            <v>イ</v>
          </cell>
          <cell r="AF785">
            <v>15</v>
          </cell>
          <cell r="AI785" t="str">
            <v>十王堂川</v>
          </cell>
          <cell r="AK785" t="str">
            <v>阿賀野川</v>
          </cell>
          <cell r="AL785" t="str">
            <v>満願寺上水場</v>
          </cell>
          <cell r="AN785">
            <v>9.5</v>
          </cell>
          <cell r="AO785" t="str">
            <v>新潟市</v>
          </cell>
          <cell r="AQ785" t="str">
            <v/>
          </cell>
          <cell r="AR785" t="str">
            <v>オキシディションディッチ法</v>
          </cell>
          <cell r="AS785" t="str">
            <v>1522301001</v>
          </cell>
          <cell r="AT785" t="str">
            <v/>
          </cell>
          <cell r="AU785" t="str">
            <v>11</v>
          </cell>
          <cell r="AV785" t="str">
            <v>11</v>
          </cell>
          <cell r="AW785">
            <v>0</v>
          </cell>
          <cell r="AX785">
            <v>0</v>
          </cell>
          <cell r="AY785">
            <v>0</v>
          </cell>
          <cell r="AZ785">
            <v>0</v>
          </cell>
          <cell r="BA785">
            <v>0</v>
          </cell>
          <cell r="BD785" t="str">
            <v/>
          </cell>
          <cell r="BE785">
            <v>1</v>
          </cell>
          <cell r="BG785" t="str">
            <v>1110</v>
          </cell>
        </row>
        <row r="786">
          <cell r="B786" t="str">
            <v>G152240106100100</v>
          </cell>
          <cell r="C786" t="str">
            <v>15.新潟県</v>
          </cell>
          <cell r="D786" t="str">
            <v>224</v>
          </cell>
          <cell r="E786" t="str">
            <v>佐渡市</v>
          </cell>
          <cell r="F786" t="str">
            <v>01</v>
          </cell>
          <cell r="G786" t="str">
            <v>公共 単独</v>
          </cell>
          <cell r="H786" t="str">
            <v>公共下水道</v>
          </cell>
          <cell r="I786" t="str">
            <v>単独</v>
          </cell>
          <cell r="J786" t="str">
            <v>001</v>
          </cell>
          <cell r="K786" t="str">
            <v>両津浄化センター</v>
          </cell>
          <cell r="M786" t="str">
            <v>1</v>
          </cell>
          <cell r="N786" t="str">
            <v>1</v>
          </cell>
          <cell r="P786" t="str">
            <v>1</v>
          </cell>
          <cell r="Q786">
            <v>37257</v>
          </cell>
          <cell r="R786" t="str">
            <v>平成</v>
          </cell>
          <cell r="S786">
            <v>14</v>
          </cell>
          <cell r="T786">
            <v>1</v>
          </cell>
          <cell r="AB786">
            <v>25510</v>
          </cell>
          <cell r="AC786" t="str">
            <v>両津湾</v>
          </cell>
          <cell r="AD786" t="str">
            <v>Ａ</v>
          </cell>
          <cell r="AE786" t="str">
            <v>イ</v>
          </cell>
          <cell r="AF786">
            <v>15</v>
          </cell>
          <cell r="AJ786" t="str">
            <v>梅津川</v>
          </cell>
          <cell r="AQ786" t="str">
            <v/>
          </cell>
          <cell r="AR786" t="str">
            <v>オキシディションディッチ法</v>
          </cell>
          <cell r="AS786" t="str">
            <v>1522401001</v>
          </cell>
          <cell r="AT786" t="str">
            <v/>
          </cell>
          <cell r="AU786" t="str">
            <v>10</v>
          </cell>
          <cell r="AV786" t="str">
            <v>10</v>
          </cell>
          <cell r="AW786">
            <v>1</v>
          </cell>
          <cell r="AX786">
            <v>0</v>
          </cell>
          <cell r="AY786">
            <v>0</v>
          </cell>
          <cell r="AZ786">
            <v>0</v>
          </cell>
          <cell r="BA786">
            <v>0</v>
          </cell>
          <cell r="BD786" t="str">
            <v/>
          </cell>
          <cell r="BE786">
            <v>1</v>
          </cell>
          <cell r="BG786" t="str">
            <v>1101</v>
          </cell>
        </row>
        <row r="787">
          <cell r="B787" t="str">
            <v>G152240206100200</v>
          </cell>
          <cell r="C787" t="str">
            <v>15.新潟県</v>
          </cell>
          <cell r="D787" t="str">
            <v>224</v>
          </cell>
          <cell r="E787" t="str">
            <v>佐渡市</v>
          </cell>
          <cell r="F787" t="str">
            <v>02</v>
          </cell>
          <cell r="G787" t="str">
            <v>特環 単独</v>
          </cell>
          <cell r="H787" t="str">
            <v>特定環境保全公共下水道</v>
          </cell>
          <cell r="I787" t="str">
            <v>単独</v>
          </cell>
          <cell r="J787" t="str">
            <v>002</v>
          </cell>
          <cell r="K787" t="str">
            <v>小木浄化センター</v>
          </cell>
          <cell r="M787" t="str">
            <v>1</v>
          </cell>
          <cell r="N787" t="str">
            <v>1</v>
          </cell>
          <cell r="Q787">
            <v>36312</v>
          </cell>
          <cell r="R787" t="str">
            <v>平成</v>
          </cell>
          <cell r="S787">
            <v>11</v>
          </cell>
          <cell r="T787">
            <v>6</v>
          </cell>
          <cell r="AB787">
            <v>6402</v>
          </cell>
          <cell r="AC787" t="str">
            <v>小木港</v>
          </cell>
          <cell r="AD787" t="str">
            <v>Ａ</v>
          </cell>
          <cell r="AE787" t="str">
            <v>イ</v>
          </cell>
          <cell r="AF787">
            <v>15</v>
          </cell>
          <cell r="AJ787" t="str">
            <v>小比叡川</v>
          </cell>
          <cell r="AQ787" t="str">
            <v/>
          </cell>
          <cell r="AR787" t="str">
            <v>オキシディションディッチ法</v>
          </cell>
          <cell r="AS787" t="str">
            <v>1522402002</v>
          </cell>
          <cell r="AT787" t="str">
            <v/>
          </cell>
          <cell r="AU787" t="str">
            <v>10</v>
          </cell>
          <cell r="AV787" t="str">
            <v>10</v>
          </cell>
          <cell r="AW787">
            <v>0</v>
          </cell>
          <cell r="AX787">
            <v>0</v>
          </cell>
          <cell r="AY787">
            <v>0</v>
          </cell>
          <cell r="AZ787">
            <v>0</v>
          </cell>
          <cell r="BA787">
            <v>0</v>
          </cell>
          <cell r="BD787" t="str">
            <v/>
          </cell>
          <cell r="BE787">
            <v>1</v>
          </cell>
          <cell r="BG787" t="str">
            <v>1100</v>
          </cell>
        </row>
        <row r="788">
          <cell r="B788" t="str">
            <v>G152240206100300</v>
          </cell>
          <cell r="C788" t="str">
            <v>15.新潟県</v>
          </cell>
          <cell r="D788" t="str">
            <v>224</v>
          </cell>
          <cell r="E788" t="str">
            <v>佐渡市</v>
          </cell>
          <cell r="F788" t="str">
            <v>02</v>
          </cell>
          <cell r="G788" t="str">
            <v>特環 単独</v>
          </cell>
          <cell r="H788" t="str">
            <v>特定環境保全公共下水道</v>
          </cell>
          <cell r="I788" t="str">
            <v>単独</v>
          </cell>
          <cell r="J788" t="str">
            <v>003</v>
          </cell>
          <cell r="K788" t="str">
            <v>相川浄化センター</v>
          </cell>
          <cell r="M788" t="str">
            <v>1</v>
          </cell>
          <cell r="N788" t="str">
            <v>1</v>
          </cell>
          <cell r="Q788">
            <v>36312</v>
          </cell>
          <cell r="R788" t="str">
            <v>平成</v>
          </cell>
          <cell r="S788">
            <v>11</v>
          </cell>
          <cell r="T788">
            <v>6</v>
          </cell>
          <cell r="AB788">
            <v>6500</v>
          </cell>
          <cell r="AC788" t="str">
            <v>設定なし</v>
          </cell>
          <cell r="AF788">
            <v>15</v>
          </cell>
          <cell r="AJ788" t="str">
            <v>間切川</v>
          </cell>
          <cell r="AQ788" t="str">
            <v/>
          </cell>
          <cell r="AR788" t="str">
            <v>オキシディションディッチ法</v>
          </cell>
          <cell r="AS788" t="str">
            <v>1522402003</v>
          </cell>
          <cell r="AT788" t="str">
            <v/>
          </cell>
          <cell r="AU788" t="str">
            <v>10</v>
          </cell>
          <cell r="AV788" t="str">
            <v>10</v>
          </cell>
          <cell r="AW788">
            <v>0</v>
          </cell>
          <cell r="AX788">
            <v>0</v>
          </cell>
          <cell r="AY788">
            <v>0</v>
          </cell>
          <cell r="AZ788">
            <v>0</v>
          </cell>
          <cell r="BA788">
            <v>0</v>
          </cell>
          <cell r="BD788" t="str">
            <v/>
          </cell>
          <cell r="BE788">
            <v>1</v>
          </cell>
          <cell r="BG788" t="str">
            <v>1100</v>
          </cell>
        </row>
        <row r="789">
          <cell r="B789" t="str">
            <v>G152240206100400</v>
          </cell>
          <cell r="C789" t="str">
            <v>15.新潟県</v>
          </cell>
          <cell r="D789" t="str">
            <v>224</v>
          </cell>
          <cell r="E789" t="str">
            <v>佐渡市</v>
          </cell>
          <cell r="F789" t="str">
            <v>02</v>
          </cell>
          <cell r="G789" t="str">
            <v>特環 単独</v>
          </cell>
          <cell r="H789" t="str">
            <v>特定環境保全公共下水道</v>
          </cell>
          <cell r="I789" t="str">
            <v>単独</v>
          </cell>
          <cell r="J789" t="str">
            <v>004</v>
          </cell>
          <cell r="K789" t="str">
            <v>赤泊浄化センター</v>
          </cell>
          <cell r="M789" t="str">
            <v>1</v>
          </cell>
          <cell r="N789" t="str">
            <v>1</v>
          </cell>
          <cell r="Q789">
            <v>38018</v>
          </cell>
          <cell r="R789" t="str">
            <v>平成</v>
          </cell>
          <cell r="S789">
            <v>16</v>
          </cell>
          <cell r="T789">
            <v>2</v>
          </cell>
          <cell r="AB789">
            <v>3176</v>
          </cell>
          <cell r="AC789" t="str">
            <v>小木港</v>
          </cell>
          <cell r="AD789" t="str">
            <v>Ａ</v>
          </cell>
          <cell r="AE789" t="str">
            <v>イ</v>
          </cell>
          <cell r="AF789">
            <v>15</v>
          </cell>
          <cell r="AI789" t="str">
            <v>赤泊港北埠頭</v>
          </cell>
          <cell r="AQ789" t="str">
            <v/>
          </cell>
          <cell r="AR789" t="str">
            <v>オキシディションディッチ法</v>
          </cell>
          <cell r="AS789" t="str">
            <v>1522402004</v>
          </cell>
          <cell r="AT789" t="str">
            <v/>
          </cell>
          <cell r="AU789" t="str">
            <v>10</v>
          </cell>
          <cell r="AV789" t="str">
            <v>10</v>
          </cell>
          <cell r="AW789">
            <v>0</v>
          </cell>
          <cell r="AX789">
            <v>0</v>
          </cell>
          <cell r="AY789">
            <v>0</v>
          </cell>
          <cell r="AZ789">
            <v>0</v>
          </cell>
          <cell r="BA789">
            <v>0</v>
          </cell>
          <cell r="BD789" t="str">
            <v/>
          </cell>
          <cell r="BE789">
            <v>1</v>
          </cell>
          <cell r="BG789" t="str">
            <v>1100</v>
          </cell>
        </row>
        <row r="790">
          <cell r="B790" t="str">
            <v>G152240206100500</v>
          </cell>
          <cell r="C790" t="str">
            <v>15.新潟県</v>
          </cell>
          <cell r="D790" t="str">
            <v>224</v>
          </cell>
          <cell r="E790" t="str">
            <v>佐渡市</v>
          </cell>
          <cell r="F790" t="str">
            <v>02</v>
          </cell>
          <cell r="G790" t="str">
            <v>特環 単独</v>
          </cell>
          <cell r="H790" t="str">
            <v>特定環境保全公共下水道</v>
          </cell>
          <cell r="I790" t="str">
            <v>単独</v>
          </cell>
          <cell r="J790" t="str">
            <v>005</v>
          </cell>
          <cell r="K790" t="str">
            <v>羽茂浄化センター</v>
          </cell>
          <cell r="M790" t="str">
            <v>1</v>
          </cell>
          <cell r="N790" t="str">
            <v>1</v>
          </cell>
          <cell r="Q790">
            <v>38777</v>
          </cell>
          <cell r="R790" t="str">
            <v>平成</v>
          </cell>
          <cell r="S790">
            <v>18</v>
          </cell>
          <cell r="T790">
            <v>3</v>
          </cell>
          <cell r="AB790">
            <v>7410</v>
          </cell>
          <cell r="AC790" t="str">
            <v>小木港</v>
          </cell>
          <cell r="AD790" t="str">
            <v>Ａ</v>
          </cell>
          <cell r="AE790" t="str">
            <v>イ</v>
          </cell>
          <cell r="AF790">
            <v>15</v>
          </cell>
          <cell r="AJ790" t="str">
            <v>羽茂川</v>
          </cell>
          <cell r="AM790">
            <v>4</v>
          </cell>
          <cell r="AO790" t="str">
            <v>佐渡市</v>
          </cell>
          <cell r="AQ790" t="str">
            <v/>
          </cell>
          <cell r="AR790" t="str">
            <v>土壌被覆型礫間接触法</v>
          </cell>
          <cell r="AS790" t="str">
            <v>1522402005</v>
          </cell>
          <cell r="AT790" t="str">
            <v/>
          </cell>
          <cell r="AU790" t="str">
            <v>10</v>
          </cell>
          <cell r="AV790" t="str">
            <v>10</v>
          </cell>
          <cell r="AW790">
            <v>0</v>
          </cell>
          <cell r="AX790">
            <v>0</v>
          </cell>
          <cell r="AY790">
            <v>0</v>
          </cell>
          <cell r="AZ790">
            <v>0</v>
          </cell>
          <cell r="BA790">
            <v>0</v>
          </cell>
          <cell r="BD790" t="str">
            <v/>
          </cell>
          <cell r="BE790">
            <v>1</v>
          </cell>
          <cell r="BG790" t="str">
            <v>1100</v>
          </cell>
        </row>
        <row r="791">
          <cell r="B791" t="str">
            <v>G152250206100100</v>
          </cell>
          <cell r="C791" t="str">
            <v>15.新潟県</v>
          </cell>
          <cell r="D791" t="str">
            <v>225</v>
          </cell>
          <cell r="E791" t="str">
            <v>魚沼市</v>
          </cell>
          <cell r="F791" t="str">
            <v>02</v>
          </cell>
          <cell r="G791" t="str">
            <v>特環 単独</v>
          </cell>
          <cell r="H791" t="str">
            <v>特定環境保全公共下水道</v>
          </cell>
          <cell r="I791" t="str">
            <v>単独</v>
          </cell>
          <cell r="J791" t="str">
            <v>001</v>
          </cell>
          <cell r="K791" t="str">
            <v>須原終末処理場</v>
          </cell>
          <cell r="M791" t="str">
            <v>1</v>
          </cell>
          <cell r="N791" t="str">
            <v>1</v>
          </cell>
          <cell r="P791" t="str">
            <v>1</v>
          </cell>
          <cell r="Q791">
            <v>30773</v>
          </cell>
          <cell r="R791" t="str">
            <v>昭和</v>
          </cell>
          <cell r="S791">
            <v>59</v>
          </cell>
          <cell r="T791">
            <v>4</v>
          </cell>
          <cell r="AB791">
            <v>12116</v>
          </cell>
          <cell r="AC791" t="str">
            <v>破間川</v>
          </cell>
          <cell r="AD791" t="str">
            <v>Ａ</v>
          </cell>
          <cell r="AE791" t="str">
            <v>イ</v>
          </cell>
          <cell r="AF791">
            <v>20</v>
          </cell>
          <cell r="AK791" t="str">
            <v>破間川</v>
          </cell>
          <cell r="AL791" t="str">
            <v>小千谷浄水場</v>
          </cell>
          <cell r="AN791">
            <v>30.4</v>
          </cell>
          <cell r="AO791" t="str">
            <v>小千谷市</v>
          </cell>
          <cell r="AQ791" t="str">
            <v/>
          </cell>
          <cell r="AR791" t="str">
            <v>オキシディションディッチ法</v>
          </cell>
          <cell r="AS791" t="str">
            <v>1522502001</v>
          </cell>
          <cell r="AT791" t="str">
            <v/>
          </cell>
          <cell r="AU791" t="str">
            <v>10</v>
          </cell>
          <cell r="AV791" t="str">
            <v>10</v>
          </cell>
          <cell r="AW791">
            <v>1</v>
          </cell>
          <cell r="AX791">
            <v>0</v>
          </cell>
          <cell r="AY791">
            <v>0</v>
          </cell>
          <cell r="AZ791">
            <v>0</v>
          </cell>
          <cell r="BA791">
            <v>0</v>
          </cell>
          <cell r="BD791" t="str">
            <v/>
          </cell>
          <cell r="BE791">
            <v>1</v>
          </cell>
          <cell r="BG791" t="str">
            <v>1101</v>
          </cell>
        </row>
        <row r="792">
          <cell r="B792" t="str">
            <v>G152250206100200</v>
          </cell>
          <cell r="C792" t="str">
            <v>15.新潟県</v>
          </cell>
          <cell r="D792" t="str">
            <v>225</v>
          </cell>
          <cell r="E792" t="str">
            <v>魚沼市</v>
          </cell>
          <cell r="F792" t="str">
            <v>02</v>
          </cell>
          <cell r="G792" t="str">
            <v>特環 単独</v>
          </cell>
          <cell r="H792" t="str">
            <v>特定環境保全公共下水道</v>
          </cell>
          <cell r="I792" t="str">
            <v>単独</v>
          </cell>
          <cell r="J792" t="str">
            <v>002</v>
          </cell>
          <cell r="K792" t="str">
            <v>大湯浄化センター</v>
          </cell>
          <cell r="M792" t="str">
            <v>1</v>
          </cell>
          <cell r="N792" t="str">
            <v>1</v>
          </cell>
          <cell r="Q792">
            <v>30803</v>
          </cell>
          <cell r="R792" t="str">
            <v>昭和</v>
          </cell>
          <cell r="S792">
            <v>59</v>
          </cell>
          <cell r="T792">
            <v>5</v>
          </cell>
          <cell r="AB792">
            <v>8200</v>
          </cell>
          <cell r="AC792" t="str">
            <v>佐梨川</v>
          </cell>
          <cell r="AD792" t="str">
            <v>Ａ</v>
          </cell>
          <cell r="AE792" t="str">
            <v>イ</v>
          </cell>
          <cell r="AF792">
            <v>20</v>
          </cell>
          <cell r="AI792" t="str">
            <v>西ノ沢</v>
          </cell>
          <cell r="AL792" t="str">
            <v>小千谷浄水場</v>
          </cell>
          <cell r="AN792">
            <v>32.299999999999997</v>
          </cell>
          <cell r="AO792" t="str">
            <v>小千谷市</v>
          </cell>
          <cell r="AQ792" t="str">
            <v/>
          </cell>
          <cell r="AR792" t="str">
            <v>回転生物接触法</v>
          </cell>
          <cell r="AS792" t="str">
            <v>1522502002</v>
          </cell>
          <cell r="AT792" t="str">
            <v/>
          </cell>
          <cell r="AU792" t="str">
            <v>10</v>
          </cell>
          <cell r="AV792" t="str">
            <v>10</v>
          </cell>
          <cell r="AW792">
            <v>0</v>
          </cell>
          <cell r="AX792">
            <v>0</v>
          </cell>
          <cell r="AY792">
            <v>0</v>
          </cell>
          <cell r="AZ792">
            <v>0</v>
          </cell>
          <cell r="BA792">
            <v>0</v>
          </cell>
          <cell r="BD792" t="str">
            <v/>
          </cell>
          <cell r="BE792">
            <v>1</v>
          </cell>
          <cell r="BG792" t="str">
            <v>1100</v>
          </cell>
        </row>
        <row r="793">
          <cell r="B793" t="str">
            <v>G152250206100300</v>
          </cell>
          <cell r="C793" t="str">
            <v>15.新潟県</v>
          </cell>
          <cell r="D793" t="str">
            <v>225</v>
          </cell>
          <cell r="E793" t="str">
            <v>魚沼市</v>
          </cell>
          <cell r="F793" t="str">
            <v>02</v>
          </cell>
          <cell r="G793" t="str">
            <v>特環 単独</v>
          </cell>
          <cell r="H793" t="str">
            <v>特定環境保全公共下水道</v>
          </cell>
          <cell r="I793" t="str">
            <v>単独</v>
          </cell>
          <cell r="J793" t="str">
            <v>003</v>
          </cell>
          <cell r="K793" t="str">
            <v>奥只見浄化センター</v>
          </cell>
          <cell r="M793" t="str">
            <v>1</v>
          </cell>
          <cell r="N793" t="str">
            <v>1</v>
          </cell>
          <cell r="Q793">
            <v>32690</v>
          </cell>
          <cell r="R793" t="str">
            <v>平成</v>
          </cell>
          <cell r="S793">
            <v>1</v>
          </cell>
          <cell r="T793">
            <v>7</v>
          </cell>
          <cell r="AB793">
            <v>3189</v>
          </cell>
          <cell r="AC793" t="str">
            <v>只見川</v>
          </cell>
          <cell r="AD793" t="str">
            <v>Ａ</v>
          </cell>
          <cell r="AE793" t="str">
            <v>イ</v>
          </cell>
          <cell r="AF793">
            <v>20</v>
          </cell>
          <cell r="AK793" t="str">
            <v>只見川</v>
          </cell>
          <cell r="AL793" t="str">
            <v>宮渕</v>
          </cell>
          <cell r="AN793">
            <v>27.2</v>
          </cell>
          <cell r="AO793" t="str">
            <v>只見町</v>
          </cell>
          <cell r="AQ793" t="str">
            <v/>
          </cell>
          <cell r="AR793" t="str">
            <v>回分式活性汚泥法</v>
          </cell>
          <cell r="AS793" t="str">
            <v>1522502003</v>
          </cell>
          <cell r="AT793" t="str">
            <v/>
          </cell>
          <cell r="AU793" t="str">
            <v>10</v>
          </cell>
          <cell r="AV793" t="str">
            <v>10</v>
          </cell>
          <cell r="AW793">
            <v>0</v>
          </cell>
          <cell r="AX793">
            <v>0</v>
          </cell>
          <cell r="AY793">
            <v>0</v>
          </cell>
          <cell r="AZ793">
            <v>0</v>
          </cell>
          <cell r="BA793">
            <v>0</v>
          </cell>
          <cell r="BD793" t="str">
            <v/>
          </cell>
          <cell r="BE793">
            <v>1</v>
          </cell>
          <cell r="BG793" t="str">
            <v>1100</v>
          </cell>
        </row>
        <row r="794">
          <cell r="B794" t="str">
            <v>G152250206100400</v>
          </cell>
          <cell r="C794" t="str">
            <v>15.新潟県</v>
          </cell>
          <cell r="D794" t="str">
            <v>225</v>
          </cell>
          <cell r="E794" t="str">
            <v>魚沼市</v>
          </cell>
          <cell r="F794" t="str">
            <v>02</v>
          </cell>
          <cell r="G794" t="str">
            <v>特環 単独</v>
          </cell>
          <cell r="H794" t="str">
            <v>特定環境保全公共下水道</v>
          </cell>
          <cell r="I794" t="str">
            <v>単独</v>
          </cell>
          <cell r="J794" t="str">
            <v>004</v>
          </cell>
          <cell r="K794" t="str">
            <v>上条終末処理場</v>
          </cell>
          <cell r="M794" t="str">
            <v>1</v>
          </cell>
          <cell r="N794" t="str">
            <v>1</v>
          </cell>
          <cell r="P794" t="str">
            <v>1</v>
          </cell>
          <cell r="Q794">
            <v>33664</v>
          </cell>
          <cell r="R794" t="str">
            <v>平成</v>
          </cell>
          <cell r="S794">
            <v>4</v>
          </cell>
          <cell r="T794">
            <v>3</v>
          </cell>
          <cell r="AB794">
            <v>4932</v>
          </cell>
          <cell r="AC794" t="str">
            <v>破間川</v>
          </cell>
          <cell r="AD794" t="str">
            <v>Ａ</v>
          </cell>
          <cell r="AE794" t="str">
            <v>イ</v>
          </cell>
          <cell r="AF794">
            <v>20</v>
          </cell>
          <cell r="AK794" t="str">
            <v>破間川</v>
          </cell>
          <cell r="AL794" t="str">
            <v>小千谷浄水場</v>
          </cell>
          <cell r="AN794">
            <v>32.9</v>
          </cell>
          <cell r="AO794" t="str">
            <v>小千谷市</v>
          </cell>
          <cell r="AQ794" t="str">
            <v/>
          </cell>
          <cell r="AR794" t="str">
            <v>オキシディションディッチ法</v>
          </cell>
          <cell r="AS794" t="str">
            <v>1522502004</v>
          </cell>
          <cell r="AT794" t="str">
            <v/>
          </cell>
          <cell r="AU794" t="str">
            <v>10</v>
          </cell>
          <cell r="AV794" t="str">
            <v>10</v>
          </cell>
          <cell r="AW794">
            <v>1</v>
          </cell>
          <cell r="AX794">
            <v>0</v>
          </cell>
          <cell r="AY794">
            <v>0</v>
          </cell>
          <cell r="AZ794">
            <v>0</v>
          </cell>
          <cell r="BA794">
            <v>0</v>
          </cell>
          <cell r="BD794" t="str">
            <v/>
          </cell>
          <cell r="BE794">
            <v>1</v>
          </cell>
          <cell r="BG794" t="str">
            <v>1101</v>
          </cell>
        </row>
        <row r="795">
          <cell r="B795" t="str">
            <v>G152250206100500</v>
          </cell>
          <cell r="C795" t="str">
            <v>15.新潟県</v>
          </cell>
          <cell r="D795" t="str">
            <v>225</v>
          </cell>
          <cell r="E795" t="str">
            <v>魚沼市</v>
          </cell>
          <cell r="F795" t="str">
            <v>02</v>
          </cell>
          <cell r="G795" t="str">
            <v>特環 単独</v>
          </cell>
          <cell r="H795" t="str">
            <v>特定環境保全公共下水道</v>
          </cell>
          <cell r="I795" t="str">
            <v>単独</v>
          </cell>
          <cell r="J795" t="str">
            <v>005</v>
          </cell>
          <cell r="K795" t="str">
            <v>銀山平浄化センター</v>
          </cell>
          <cell r="M795" t="str">
            <v>1</v>
          </cell>
          <cell r="N795" t="str">
            <v>1</v>
          </cell>
          <cell r="Q795">
            <v>37073</v>
          </cell>
          <cell r="R795" t="str">
            <v>平成</v>
          </cell>
          <cell r="S795">
            <v>13</v>
          </cell>
          <cell r="T795">
            <v>7</v>
          </cell>
          <cell r="AB795">
            <v>6558</v>
          </cell>
          <cell r="AC795" t="str">
            <v>奥只見湖</v>
          </cell>
          <cell r="AD795" t="str">
            <v>Ａ</v>
          </cell>
          <cell r="AE795" t="str">
            <v>イ</v>
          </cell>
          <cell r="AF795">
            <v>20</v>
          </cell>
          <cell r="AI795" t="str">
            <v>奥只見湖</v>
          </cell>
          <cell r="AL795" t="str">
            <v>宮渕</v>
          </cell>
          <cell r="AN795">
            <v>37.200000000000003</v>
          </cell>
          <cell r="AO795" t="str">
            <v>只見町</v>
          </cell>
          <cell r="AQ795" t="str">
            <v/>
          </cell>
          <cell r="AR795" t="str">
            <v>回分式活性汚泥法</v>
          </cell>
          <cell r="AS795" t="str">
            <v>1522502005</v>
          </cell>
          <cell r="AT795" t="str">
            <v/>
          </cell>
          <cell r="AU795" t="str">
            <v>10</v>
          </cell>
          <cell r="AV795" t="str">
            <v>10</v>
          </cell>
          <cell r="AW795">
            <v>0</v>
          </cell>
          <cell r="AX795">
            <v>0</v>
          </cell>
          <cell r="AY795">
            <v>0</v>
          </cell>
          <cell r="AZ795">
            <v>0</v>
          </cell>
          <cell r="BA795">
            <v>0</v>
          </cell>
          <cell r="BD795" t="str">
            <v/>
          </cell>
          <cell r="BE795">
            <v>1</v>
          </cell>
          <cell r="BG795" t="str">
            <v>1100</v>
          </cell>
        </row>
        <row r="796">
          <cell r="B796" t="str">
            <v>G152260106100100</v>
          </cell>
          <cell r="C796" t="str">
            <v>15.新潟県</v>
          </cell>
          <cell r="D796" t="str">
            <v>226</v>
          </cell>
          <cell r="E796" t="str">
            <v>南魚沼市</v>
          </cell>
          <cell r="F796" t="str">
            <v>01</v>
          </cell>
          <cell r="G796" t="str">
            <v>公共 単独</v>
          </cell>
          <cell r="H796" t="str">
            <v>公共下水道</v>
          </cell>
          <cell r="I796" t="str">
            <v>単独</v>
          </cell>
          <cell r="J796" t="str">
            <v>001</v>
          </cell>
          <cell r="K796" t="str">
            <v>大和クリーンセンター</v>
          </cell>
          <cell r="M796" t="str">
            <v>1</v>
          </cell>
          <cell r="N796" t="str">
            <v>1</v>
          </cell>
          <cell r="P796" t="str">
            <v>1</v>
          </cell>
          <cell r="Q796">
            <v>34213</v>
          </cell>
          <cell r="R796" t="str">
            <v>平成</v>
          </cell>
          <cell r="S796">
            <v>5</v>
          </cell>
          <cell r="T796">
            <v>9</v>
          </cell>
          <cell r="AB796">
            <v>34600</v>
          </cell>
          <cell r="AC796" t="str">
            <v>魚野川下流</v>
          </cell>
          <cell r="AD796" t="str">
            <v>Ａ</v>
          </cell>
          <cell r="AE796" t="str">
            <v>イ</v>
          </cell>
          <cell r="AF796">
            <v>15</v>
          </cell>
          <cell r="AK796" t="str">
            <v>魚野川</v>
          </cell>
          <cell r="AL796" t="str">
            <v>川口水道</v>
          </cell>
          <cell r="AN796">
            <v>21</v>
          </cell>
          <cell r="AO796" t="str">
            <v>長岡市</v>
          </cell>
          <cell r="AQ796" t="str">
            <v/>
          </cell>
          <cell r="AR796" t="str">
            <v>オキシディションディッチ法</v>
          </cell>
          <cell r="AS796" t="str">
            <v>1522601001</v>
          </cell>
          <cell r="AT796" t="str">
            <v/>
          </cell>
          <cell r="AU796" t="str">
            <v>10</v>
          </cell>
          <cell r="AV796" t="str">
            <v>10</v>
          </cell>
          <cell r="AW796">
            <v>1</v>
          </cell>
          <cell r="AX796">
            <v>0</v>
          </cell>
          <cell r="AY796">
            <v>0</v>
          </cell>
          <cell r="AZ796">
            <v>0</v>
          </cell>
          <cell r="BA796">
            <v>0</v>
          </cell>
          <cell r="BD796" t="str">
            <v/>
          </cell>
          <cell r="BE796">
            <v>1</v>
          </cell>
          <cell r="BG796" t="str">
            <v>1101</v>
          </cell>
        </row>
        <row r="797">
          <cell r="B797" t="str">
            <v>G152260206100200</v>
          </cell>
          <cell r="C797" t="str">
            <v>15.新潟県</v>
          </cell>
          <cell r="D797" t="str">
            <v>226</v>
          </cell>
          <cell r="E797" t="str">
            <v>南魚沼市</v>
          </cell>
          <cell r="F797" t="str">
            <v>02</v>
          </cell>
          <cell r="G797" t="str">
            <v>特環 単独</v>
          </cell>
          <cell r="H797" t="str">
            <v>特定環境保全公共下水道</v>
          </cell>
          <cell r="I797" t="str">
            <v>単独</v>
          </cell>
          <cell r="J797" t="str">
            <v>002</v>
          </cell>
          <cell r="K797" t="str">
            <v>上の原浄化センター</v>
          </cell>
          <cell r="M797" t="str">
            <v>1</v>
          </cell>
          <cell r="N797" t="str">
            <v>1</v>
          </cell>
          <cell r="Q797">
            <v>32782</v>
          </cell>
          <cell r="R797" t="str">
            <v>平成</v>
          </cell>
          <cell r="S797">
            <v>1</v>
          </cell>
          <cell r="T797">
            <v>10</v>
          </cell>
          <cell r="AB797">
            <v>2462</v>
          </cell>
          <cell r="AK797" t="str">
            <v>平手川</v>
          </cell>
          <cell r="AQ797" t="str">
            <v/>
          </cell>
          <cell r="AR797" t="str">
            <v>回分式活性汚泥法</v>
          </cell>
          <cell r="AS797" t="str">
            <v>1522602002</v>
          </cell>
          <cell r="AT797" t="str">
            <v/>
          </cell>
          <cell r="AU797" t="str">
            <v>10</v>
          </cell>
          <cell r="AV797" t="str">
            <v>10</v>
          </cell>
          <cell r="AW797">
            <v>0</v>
          </cell>
          <cell r="AX797">
            <v>0</v>
          </cell>
          <cell r="AY797">
            <v>0</v>
          </cell>
          <cell r="AZ797">
            <v>0</v>
          </cell>
          <cell r="BA797">
            <v>0</v>
          </cell>
          <cell r="BD797" t="str">
            <v/>
          </cell>
          <cell r="BE797">
            <v>1</v>
          </cell>
          <cell r="BG797" t="str">
            <v>1100</v>
          </cell>
        </row>
        <row r="798">
          <cell r="B798" t="str">
            <v>G152260206100300</v>
          </cell>
          <cell r="C798" t="str">
            <v>15.新潟県</v>
          </cell>
          <cell r="D798" t="str">
            <v>226</v>
          </cell>
          <cell r="E798" t="str">
            <v>南魚沼市</v>
          </cell>
          <cell r="F798" t="str">
            <v>02</v>
          </cell>
          <cell r="G798" t="str">
            <v>特環 単独</v>
          </cell>
          <cell r="H798" t="str">
            <v>特定環境保全公共下水道</v>
          </cell>
          <cell r="I798" t="str">
            <v>単独</v>
          </cell>
          <cell r="J798" t="str">
            <v>003</v>
          </cell>
          <cell r="K798" t="str">
            <v>五箇クリーンセンター</v>
          </cell>
          <cell r="M798" t="str">
            <v>1</v>
          </cell>
          <cell r="N798" t="str">
            <v>1</v>
          </cell>
          <cell r="Q798">
            <v>36373</v>
          </cell>
          <cell r="R798" t="str">
            <v>平成</v>
          </cell>
          <cell r="S798">
            <v>11</v>
          </cell>
          <cell r="T798">
            <v>8</v>
          </cell>
          <cell r="AB798">
            <v>3900</v>
          </cell>
          <cell r="AK798" t="str">
            <v>魚野川</v>
          </cell>
          <cell r="AQ798" t="str">
            <v/>
          </cell>
          <cell r="AR798" t="str">
            <v>オキシディションディッチ法</v>
          </cell>
          <cell r="AS798" t="str">
            <v>1522602003</v>
          </cell>
          <cell r="AT798" t="str">
            <v/>
          </cell>
          <cell r="AU798" t="str">
            <v>10</v>
          </cell>
          <cell r="AV798" t="str">
            <v>10</v>
          </cell>
          <cell r="AW798">
            <v>0</v>
          </cell>
          <cell r="AX798">
            <v>0</v>
          </cell>
          <cell r="AY798">
            <v>0</v>
          </cell>
          <cell r="AZ798">
            <v>0</v>
          </cell>
          <cell r="BA798">
            <v>0</v>
          </cell>
          <cell r="BD798" t="str">
            <v/>
          </cell>
          <cell r="BE798">
            <v>1</v>
          </cell>
          <cell r="BG798" t="str">
            <v>1100</v>
          </cell>
        </row>
        <row r="799">
          <cell r="B799" t="str">
            <v>G152270106100100</v>
          </cell>
          <cell r="C799" t="str">
            <v>15.新潟県</v>
          </cell>
          <cell r="D799" t="str">
            <v>227</v>
          </cell>
          <cell r="E799" t="str">
            <v>胎内市</v>
          </cell>
          <cell r="F799" t="str">
            <v>01</v>
          </cell>
          <cell r="G799" t="str">
            <v>公共 単独</v>
          </cell>
          <cell r="H799" t="str">
            <v>公共下水道</v>
          </cell>
          <cell r="I799" t="str">
            <v>単独</v>
          </cell>
          <cell r="J799" t="str">
            <v>001</v>
          </cell>
          <cell r="K799" t="str">
            <v>中条浄化センター</v>
          </cell>
          <cell r="M799" t="str">
            <v>1</v>
          </cell>
          <cell r="N799" t="str">
            <v>1</v>
          </cell>
          <cell r="Q799">
            <v>33878</v>
          </cell>
          <cell r="R799" t="str">
            <v>平成</v>
          </cell>
          <cell r="S799">
            <v>4</v>
          </cell>
          <cell r="T799">
            <v>10</v>
          </cell>
          <cell r="AB799">
            <v>27710</v>
          </cell>
          <cell r="AC799" t="str">
            <v>落堀川水系</v>
          </cell>
          <cell r="AD799" t="str">
            <v>Ｂ</v>
          </cell>
          <cell r="AF799">
            <v>15</v>
          </cell>
          <cell r="AJ799" t="str">
            <v>舟戸川</v>
          </cell>
          <cell r="AQ799" t="str">
            <v/>
          </cell>
          <cell r="AR799" t="str">
            <v>標準活性汚泥法</v>
          </cell>
          <cell r="AS799" t="str">
            <v>1522701001</v>
          </cell>
          <cell r="AT799" t="str">
            <v/>
          </cell>
          <cell r="AU799" t="str">
            <v>10</v>
          </cell>
          <cell r="AV799" t="str">
            <v>10</v>
          </cell>
          <cell r="AW799">
            <v>0</v>
          </cell>
          <cell r="AX799">
            <v>0</v>
          </cell>
          <cell r="AY799">
            <v>0</v>
          </cell>
          <cell r="AZ799">
            <v>0</v>
          </cell>
          <cell r="BA799">
            <v>0</v>
          </cell>
          <cell r="BD799" t="str">
            <v/>
          </cell>
          <cell r="BE799">
            <v>1</v>
          </cell>
          <cell r="BG799" t="str">
            <v>1100</v>
          </cell>
        </row>
        <row r="800">
          <cell r="B800" t="str">
            <v>G153420206100100</v>
          </cell>
          <cell r="C800" t="str">
            <v>15.新潟県</v>
          </cell>
          <cell r="D800" t="str">
            <v>342</v>
          </cell>
          <cell r="E800" t="str">
            <v>弥彦村</v>
          </cell>
          <cell r="F800" t="str">
            <v>02</v>
          </cell>
          <cell r="G800" t="str">
            <v>特環 単独</v>
          </cell>
          <cell r="H800" t="str">
            <v>特定環境保全公共下水道</v>
          </cell>
          <cell r="I800" t="str">
            <v>単独</v>
          </cell>
          <cell r="J800" t="str">
            <v>001</v>
          </cell>
          <cell r="K800" t="str">
            <v>弥彦終末処理場</v>
          </cell>
          <cell r="M800" t="str">
            <v>1</v>
          </cell>
          <cell r="N800" t="str">
            <v>1</v>
          </cell>
          <cell r="Q800">
            <v>30037</v>
          </cell>
          <cell r="R800" t="str">
            <v>昭和</v>
          </cell>
          <cell r="S800">
            <v>57</v>
          </cell>
          <cell r="T800">
            <v>3</v>
          </cell>
          <cell r="AB800">
            <v>15892</v>
          </cell>
          <cell r="AD800" t="str">
            <v>Ａ</v>
          </cell>
          <cell r="AE800" t="str">
            <v>ロ</v>
          </cell>
          <cell r="AF800">
            <v>15</v>
          </cell>
          <cell r="AK800" t="str">
            <v>矢川</v>
          </cell>
          <cell r="AQ800" t="str">
            <v/>
          </cell>
          <cell r="AR800" t="str">
            <v>標準活性汚泥法</v>
          </cell>
          <cell r="AS800" t="str">
            <v>1534202001</v>
          </cell>
          <cell r="AT800" t="str">
            <v/>
          </cell>
          <cell r="AU800" t="str">
            <v>10</v>
          </cell>
          <cell r="AV800" t="str">
            <v>10</v>
          </cell>
          <cell r="AW800">
            <v>0</v>
          </cell>
          <cell r="AX800">
            <v>0</v>
          </cell>
          <cell r="AY800">
            <v>0</v>
          </cell>
          <cell r="AZ800">
            <v>0</v>
          </cell>
          <cell r="BA800">
            <v>0</v>
          </cell>
          <cell r="BD800" t="str">
            <v/>
          </cell>
          <cell r="BE800">
            <v>0</v>
          </cell>
          <cell r="BF800" t="str">
            <v>流域編入：廃止</v>
          </cell>
          <cell r="BG800" t="str">
            <v>1100</v>
          </cell>
        </row>
        <row r="801">
          <cell r="B801" t="str">
            <v>G153610206100100</v>
          </cell>
          <cell r="C801" t="str">
            <v>15.新潟県</v>
          </cell>
          <cell r="D801" t="str">
            <v>361</v>
          </cell>
          <cell r="E801" t="str">
            <v>田上町</v>
          </cell>
          <cell r="F801" t="str">
            <v>02</v>
          </cell>
          <cell r="G801" t="str">
            <v>特環 単独</v>
          </cell>
          <cell r="H801" t="str">
            <v>特定環境保全公共下水道</v>
          </cell>
          <cell r="I801" t="str">
            <v>単独</v>
          </cell>
          <cell r="J801" t="str">
            <v>001</v>
          </cell>
          <cell r="K801" t="str">
            <v>田上終末処理場</v>
          </cell>
          <cell r="M801" t="str">
            <v>1</v>
          </cell>
          <cell r="N801" t="str">
            <v>1</v>
          </cell>
          <cell r="Q801">
            <v>32203</v>
          </cell>
          <cell r="R801" t="str">
            <v>昭和</v>
          </cell>
          <cell r="S801">
            <v>63</v>
          </cell>
          <cell r="T801">
            <v>3</v>
          </cell>
          <cell r="AB801">
            <v>5991</v>
          </cell>
          <cell r="AC801" t="str">
            <v>信濃川中流</v>
          </cell>
          <cell r="AD801" t="str">
            <v>Ａ</v>
          </cell>
          <cell r="AE801" t="str">
            <v>ロ</v>
          </cell>
          <cell r="AF801">
            <v>15</v>
          </cell>
          <cell r="AK801" t="str">
            <v>山田川</v>
          </cell>
          <cell r="AL801" t="str">
            <v>小向浄水場</v>
          </cell>
          <cell r="AN801">
            <v>3.5</v>
          </cell>
          <cell r="AO801" t="str">
            <v>新潟市</v>
          </cell>
          <cell r="AQ801" t="str">
            <v/>
          </cell>
          <cell r="AR801" t="str">
            <v>回転生物接触法</v>
          </cell>
          <cell r="AS801" t="str">
            <v>1536102001</v>
          </cell>
          <cell r="AT801" t="str">
            <v/>
          </cell>
          <cell r="AU801" t="str">
            <v>10</v>
          </cell>
          <cell r="AV801" t="str">
            <v>10</v>
          </cell>
          <cell r="AW801">
            <v>0</v>
          </cell>
          <cell r="AX801">
            <v>0</v>
          </cell>
          <cell r="AY801">
            <v>0</v>
          </cell>
          <cell r="AZ801">
            <v>0</v>
          </cell>
          <cell r="BA801">
            <v>0</v>
          </cell>
          <cell r="BD801" t="str">
            <v/>
          </cell>
          <cell r="BE801">
            <v>1</v>
          </cell>
          <cell r="BG801" t="str">
            <v>1100</v>
          </cell>
        </row>
        <row r="802">
          <cell r="B802" t="str">
            <v>G153850106100100</v>
          </cell>
          <cell r="C802" t="str">
            <v>15.新潟県</v>
          </cell>
          <cell r="D802" t="str">
            <v>385</v>
          </cell>
          <cell r="E802" t="str">
            <v>阿賀町</v>
          </cell>
          <cell r="F802" t="str">
            <v>01</v>
          </cell>
          <cell r="G802" t="str">
            <v>公共 単独</v>
          </cell>
          <cell r="H802" t="str">
            <v>公共下水道</v>
          </cell>
          <cell r="I802" t="str">
            <v>単独</v>
          </cell>
          <cell r="J802" t="str">
            <v>001</v>
          </cell>
          <cell r="K802" t="str">
            <v>津川水質浄化センター</v>
          </cell>
          <cell r="M802" t="str">
            <v>1</v>
          </cell>
          <cell r="N802" t="str">
            <v>1</v>
          </cell>
          <cell r="Q802">
            <v>35339</v>
          </cell>
          <cell r="R802" t="str">
            <v>平成</v>
          </cell>
          <cell r="S802">
            <v>8</v>
          </cell>
          <cell r="T802">
            <v>10</v>
          </cell>
          <cell r="AB802">
            <v>9282</v>
          </cell>
          <cell r="AC802" t="str">
            <v>阿賀野川</v>
          </cell>
          <cell r="AD802" t="str">
            <v>Ａ</v>
          </cell>
          <cell r="AE802" t="str">
            <v>イ</v>
          </cell>
          <cell r="AF802">
            <v>15</v>
          </cell>
          <cell r="AI802" t="str">
            <v>幾桶川</v>
          </cell>
          <cell r="AK802" t="str">
            <v>阿賀野川</v>
          </cell>
          <cell r="AL802" t="str">
            <v>阿賀野川頭首工</v>
          </cell>
          <cell r="AM802">
            <v>20</v>
          </cell>
          <cell r="AO802" t="str">
            <v>阿賀野市</v>
          </cell>
          <cell r="AQ802" t="str">
            <v/>
          </cell>
          <cell r="AR802" t="str">
            <v>オキシディションディッチ法</v>
          </cell>
          <cell r="AS802" t="str">
            <v>1538501001</v>
          </cell>
          <cell r="AT802" t="str">
            <v/>
          </cell>
          <cell r="AU802" t="str">
            <v>10</v>
          </cell>
          <cell r="AV802" t="str">
            <v>10</v>
          </cell>
          <cell r="AW802">
            <v>0</v>
          </cell>
          <cell r="AX802">
            <v>0</v>
          </cell>
          <cell r="AY802">
            <v>0</v>
          </cell>
          <cell r="AZ802">
            <v>0</v>
          </cell>
          <cell r="BA802">
            <v>0</v>
          </cell>
          <cell r="BD802" t="str">
            <v/>
          </cell>
          <cell r="BE802">
            <v>1</v>
          </cell>
          <cell r="BG802" t="str">
            <v>1100</v>
          </cell>
        </row>
        <row r="803">
          <cell r="B803" t="str">
            <v>G153850206100200</v>
          </cell>
          <cell r="C803" t="str">
            <v>15.新潟県</v>
          </cell>
          <cell r="D803" t="str">
            <v>385</v>
          </cell>
          <cell r="E803" t="str">
            <v>阿賀町</v>
          </cell>
          <cell r="F803" t="str">
            <v>02</v>
          </cell>
          <cell r="G803" t="str">
            <v>特環 単独</v>
          </cell>
          <cell r="H803" t="str">
            <v>特定環境保全公共下水道</v>
          </cell>
          <cell r="I803" t="str">
            <v>単独</v>
          </cell>
          <cell r="J803" t="str">
            <v>002</v>
          </cell>
          <cell r="K803" t="str">
            <v>内川浄化センター</v>
          </cell>
          <cell r="M803" t="str">
            <v>1</v>
          </cell>
          <cell r="N803" t="str">
            <v>1</v>
          </cell>
          <cell r="Q803">
            <v>35490</v>
          </cell>
          <cell r="R803" t="str">
            <v>平成</v>
          </cell>
          <cell r="S803">
            <v>9</v>
          </cell>
          <cell r="T803">
            <v>3</v>
          </cell>
          <cell r="AB803">
            <v>4405</v>
          </cell>
          <cell r="AC803" t="str">
            <v>阿賀野川</v>
          </cell>
          <cell r="AD803" t="str">
            <v>ＡＡ</v>
          </cell>
          <cell r="AE803" t="str">
            <v>イ</v>
          </cell>
          <cell r="AF803">
            <v>20</v>
          </cell>
          <cell r="AK803" t="str">
            <v>新谷川</v>
          </cell>
          <cell r="AL803" t="str">
            <v>阿賀野川頭首工</v>
          </cell>
          <cell r="AM803">
            <v>12.8</v>
          </cell>
          <cell r="AO803" t="str">
            <v>阿賀野市</v>
          </cell>
          <cell r="AQ803" t="str">
            <v/>
          </cell>
          <cell r="AR803" t="str">
            <v>オキシディションディッチ法</v>
          </cell>
          <cell r="AS803" t="str">
            <v>1538502002</v>
          </cell>
          <cell r="AT803" t="str">
            <v/>
          </cell>
          <cell r="AU803" t="str">
            <v>10</v>
          </cell>
          <cell r="AV803" t="str">
            <v>10</v>
          </cell>
          <cell r="AW803">
            <v>0</v>
          </cell>
          <cell r="AX803">
            <v>0</v>
          </cell>
          <cell r="AY803">
            <v>0</v>
          </cell>
          <cell r="AZ803">
            <v>0</v>
          </cell>
          <cell r="BA803">
            <v>0</v>
          </cell>
          <cell r="BD803" t="str">
            <v/>
          </cell>
          <cell r="BE803">
            <v>1</v>
          </cell>
          <cell r="BG803" t="str">
            <v>1100</v>
          </cell>
        </row>
        <row r="804">
          <cell r="B804" t="str">
            <v>G153850206100300</v>
          </cell>
          <cell r="C804" t="str">
            <v>15.新潟県</v>
          </cell>
          <cell r="D804" t="str">
            <v>385</v>
          </cell>
          <cell r="E804" t="str">
            <v>阿賀町</v>
          </cell>
          <cell r="F804" t="str">
            <v>02</v>
          </cell>
          <cell r="G804" t="str">
            <v>特環 単独</v>
          </cell>
          <cell r="H804" t="str">
            <v>特定環境保全公共下水道</v>
          </cell>
          <cell r="I804" t="str">
            <v>単独</v>
          </cell>
          <cell r="J804" t="str">
            <v>003</v>
          </cell>
          <cell r="K804" t="str">
            <v>中央浄化センター</v>
          </cell>
          <cell r="M804" t="str">
            <v>1</v>
          </cell>
          <cell r="N804" t="str">
            <v>1</v>
          </cell>
          <cell r="Q804">
            <v>35704</v>
          </cell>
          <cell r="R804" t="str">
            <v>平成</v>
          </cell>
          <cell r="S804">
            <v>9</v>
          </cell>
          <cell r="T804">
            <v>10</v>
          </cell>
          <cell r="AB804">
            <v>4100</v>
          </cell>
          <cell r="AC804" t="str">
            <v>阿賀野川</v>
          </cell>
          <cell r="AD804" t="str">
            <v>ＡＡ</v>
          </cell>
          <cell r="AE804" t="str">
            <v>イ</v>
          </cell>
          <cell r="AF804">
            <v>20</v>
          </cell>
          <cell r="AK804" t="str">
            <v>常浪川</v>
          </cell>
          <cell r="AL804" t="str">
            <v>中央地区簡易水道施設</v>
          </cell>
          <cell r="AM804">
            <v>3</v>
          </cell>
          <cell r="AO804" t="str">
            <v>阿賀町</v>
          </cell>
          <cell r="AQ804" t="str">
            <v/>
          </cell>
          <cell r="AR804" t="str">
            <v>オキシディションディッチ法</v>
          </cell>
          <cell r="AS804" t="str">
            <v>1538502003</v>
          </cell>
          <cell r="AT804" t="str">
            <v/>
          </cell>
          <cell r="AU804" t="str">
            <v>10</v>
          </cell>
          <cell r="AV804" t="str">
            <v>10</v>
          </cell>
          <cell r="AW804">
            <v>0</v>
          </cell>
          <cell r="AX804">
            <v>0</v>
          </cell>
          <cell r="AY804">
            <v>0</v>
          </cell>
          <cell r="AZ804">
            <v>0</v>
          </cell>
          <cell r="BA804">
            <v>0</v>
          </cell>
          <cell r="BD804" t="str">
            <v/>
          </cell>
          <cell r="BE804">
            <v>1</v>
          </cell>
          <cell r="BG804" t="str">
            <v>1100</v>
          </cell>
        </row>
        <row r="805">
          <cell r="B805" t="str">
            <v>G153850206100400</v>
          </cell>
          <cell r="C805" t="str">
            <v>15.新潟県</v>
          </cell>
          <cell r="D805" t="str">
            <v>385</v>
          </cell>
          <cell r="E805" t="str">
            <v>阿賀町</v>
          </cell>
          <cell r="F805" t="str">
            <v>02</v>
          </cell>
          <cell r="G805" t="str">
            <v>特環 単独</v>
          </cell>
          <cell r="H805" t="str">
            <v>特定環境保全公共下水道</v>
          </cell>
          <cell r="I805" t="str">
            <v>単独</v>
          </cell>
          <cell r="J805" t="str">
            <v>004</v>
          </cell>
          <cell r="K805" t="str">
            <v>鹿瀬浄化センター</v>
          </cell>
          <cell r="M805" t="str">
            <v>1</v>
          </cell>
          <cell r="N805" t="str">
            <v>1</v>
          </cell>
          <cell r="Q805">
            <v>36220</v>
          </cell>
          <cell r="R805" t="str">
            <v>平成</v>
          </cell>
          <cell r="S805">
            <v>11</v>
          </cell>
          <cell r="T805">
            <v>3</v>
          </cell>
          <cell r="AB805">
            <v>5233</v>
          </cell>
          <cell r="AC805" t="str">
            <v>阿賀野川</v>
          </cell>
          <cell r="AD805" t="str">
            <v>Ａ</v>
          </cell>
          <cell r="AE805" t="str">
            <v>イ</v>
          </cell>
          <cell r="AF805">
            <v>20</v>
          </cell>
          <cell r="AK805" t="str">
            <v>阿賀野川</v>
          </cell>
          <cell r="AL805" t="str">
            <v>阿賀野川頭首工</v>
          </cell>
          <cell r="AN805">
            <v>22</v>
          </cell>
          <cell r="AO805" t="str">
            <v>阿賀野市</v>
          </cell>
          <cell r="AQ805" t="str">
            <v/>
          </cell>
          <cell r="AR805" t="str">
            <v>オキシディションディッチ法</v>
          </cell>
          <cell r="AS805" t="str">
            <v>1538502004</v>
          </cell>
          <cell r="AT805" t="str">
            <v/>
          </cell>
          <cell r="AU805" t="str">
            <v>10</v>
          </cell>
          <cell r="AV805" t="str">
            <v>10</v>
          </cell>
          <cell r="AW805">
            <v>0</v>
          </cell>
          <cell r="AX805">
            <v>0</v>
          </cell>
          <cell r="AY805">
            <v>0</v>
          </cell>
          <cell r="AZ805">
            <v>0</v>
          </cell>
          <cell r="BA805">
            <v>0</v>
          </cell>
          <cell r="BD805" t="str">
            <v/>
          </cell>
          <cell r="BE805">
            <v>1</v>
          </cell>
          <cell r="BG805" t="str">
            <v>1100</v>
          </cell>
        </row>
        <row r="806">
          <cell r="B806" t="str">
            <v>G153850206100500</v>
          </cell>
          <cell r="C806" t="str">
            <v>15.新潟県</v>
          </cell>
          <cell r="D806" t="str">
            <v>385</v>
          </cell>
          <cell r="E806" t="str">
            <v>阿賀町</v>
          </cell>
          <cell r="F806" t="str">
            <v>02</v>
          </cell>
          <cell r="G806" t="str">
            <v>特環 単独</v>
          </cell>
          <cell r="H806" t="str">
            <v>特定環境保全公共下水道</v>
          </cell>
          <cell r="I806" t="str">
            <v>単独</v>
          </cell>
          <cell r="J806" t="str">
            <v>005</v>
          </cell>
          <cell r="K806" t="str">
            <v>谷花浄化センター</v>
          </cell>
          <cell r="M806" t="str">
            <v>1</v>
          </cell>
          <cell r="N806" t="str">
            <v>1</v>
          </cell>
          <cell r="Q806">
            <v>37316</v>
          </cell>
          <cell r="R806" t="str">
            <v>平成</v>
          </cell>
          <cell r="S806">
            <v>14</v>
          </cell>
          <cell r="T806">
            <v>3</v>
          </cell>
          <cell r="AB806">
            <v>2474</v>
          </cell>
          <cell r="AC806" t="str">
            <v>阿賀野川</v>
          </cell>
          <cell r="AD806" t="str">
            <v>Ａ</v>
          </cell>
          <cell r="AE806" t="str">
            <v>イ</v>
          </cell>
          <cell r="AF806">
            <v>20</v>
          </cell>
          <cell r="AK806" t="str">
            <v>阿賀野川</v>
          </cell>
          <cell r="AL806" t="str">
            <v>阿賀野川頭首工</v>
          </cell>
          <cell r="AN806">
            <v>15.1</v>
          </cell>
          <cell r="AO806" t="str">
            <v>阿賀野市</v>
          </cell>
          <cell r="AQ806" t="str">
            <v/>
          </cell>
          <cell r="AR806" t="str">
            <v>オキシディションディッチ法</v>
          </cell>
          <cell r="AS806" t="str">
            <v>1538502005</v>
          </cell>
          <cell r="AT806" t="str">
            <v/>
          </cell>
          <cell r="AU806" t="str">
            <v>10</v>
          </cell>
          <cell r="AV806" t="str">
            <v>10</v>
          </cell>
          <cell r="AW806">
            <v>0</v>
          </cell>
          <cell r="AX806">
            <v>0</v>
          </cell>
          <cell r="AY806">
            <v>0</v>
          </cell>
          <cell r="AZ806">
            <v>0</v>
          </cell>
          <cell r="BA806">
            <v>0</v>
          </cell>
          <cell r="BD806" t="str">
            <v/>
          </cell>
          <cell r="BE806">
            <v>1</v>
          </cell>
          <cell r="BG806" t="str">
            <v>1100</v>
          </cell>
        </row>
        <row r="807">
          <cell r="B807" t="str">
            <v>G154050206100100</v>
          </cell>
          <cell r="C807" t="str">
            <v>15.新潟県</v>
          </cell>
          <cell r="D807" t="str">
            <v>405</v>
          </cell>
          <cell r="E807" t="str">
            <v>出雲崎町</v>
          </cell>
          <cell r="F807" t="str">
            <v>02</v>
          </cell>
          <cell r="G807" t="str">
            <v>特環 単独</v>
          </cell>
          <cell r="H807" t="str">
            <v>特定環境保全公共下水道</v>
          </cell>
          <cell r="I807" t="str">
            <v>単独</v>
          </cell>
          <cell r="J807" t="str">
            <v>001</v>
          </cell>
          <cell r="K807" t="str">
            <v>久田浄化センター</v>
          </cell>
          <cell r="M807" t="str">
            <v>1</v>
          </cell>
          <cell r="N807" t="str">
            <v>1</v>
          </cell>
          <cell r="Q807">
            <v>35765</v>
          </cell>
          <cell r="R807" t="str">
            <v>平成</v>
          </cell>
          <cell r="S807">
            <v>9</v>
          </cell>
          <cell r="T807">
            <v>12</v>
          </cell>
          <cell r="AB807">
            <v>5365</v>
          </cell>
          <cell r="AC807" t="str">
            <v>弥彦米山千沙区海域</v>
          </cell>
          <cell r="AD807" t="str">
            <v>Ａ</v>
          </cell>
          <cell r="AE807" t="str">
            <v>イ</v>
          </cell>
          <cell r="AI807" t="str">
            <v>普通河川浜平川</v>
          </cell>
          <cell r="AQ807" t="str">
            <v/>
          </cell>
          <cell r="AR807" t="str">
            <v>好気性ろ床法</v>
          </cell>
          <cell r="AS807" t="str">
            <v>1540502001</v>
          </cell>
          <cell r="AT807" t="str">
            <v/>
          </cell>
          <cell r="AU807" t="str">
            <v>10</v>
          </cell>
          <cell r="AV807" t="str">
            <v>10</v>
          </cell>
          <cell r="AW807">
            <v>0</v>
          </cell>
          <cell r="AX807">
            <v>0</v>
          </cell>
          <cell r="AY807">
            <v>0</v>
          </cell>
          <cell r="AZ807">
            <v>0</v>
          </cell>
          <cell r="BA807">
            <v>0</v>
          </cell>
          <cell r="BD807" t="str">
            <v/>
          </cell>
          <cell r="BE807">
            <v>1</v>
          </cell>
          <cell r="BG807" t="str">
            <v>1100</v>
          </cell>
        </row>
        <row r="808">
          <cell r="B808" t="str">
            <v>G154610106100100</v>
          </cell>
          <cell r="C808" t="str">
            <v>15.新潟県</v>
          </cell>
          <cell r="D808" t="str">
            <v>461</v>
          </cell>
          <cell r="E808" t="str">
            <v>湯沢町</v>
          </cell>
          <cell r="F808" t="str">
            <v>01</v>
          </cell>
          <cell r="G808" t="str">
            <v>公共 単独</v>
          </cell>
          <cell r="H808" t="str">
            <v>公共下水道</v>
          </cell>
          <cell r="I808" t="str">
            <v>単独</v>
          </cell>
          <cell r="J808" t="str">
            <v>001</v>
          </cell>
          <cell r="K808" t="str">
            <v>湯沢浄化センター</v>
          </cell>
          <cell r="M808" t="str">
            <v>1</v>
          </cell>
          <cell r="N808" t="str">
            <v>1</v>
          </cell>
          <cell r="P808" t="str">
            <v>1</v>
          </cell>
          <cell r="Q808">
            <v>32783</v>
          </cell>
          <cell r="R808" t="str">
            <v>平成</v>
          </cell>
          <cell r="S808">
            <v>1</v>
          </cell>
          <cell r="T808">
            <v>10</v>
          </cell>
          <cell r="AB808">
            <v>13000</v>
          </cell>
          <cell r="AC808" t="str">
            <v>魚野川下流</v>
          </cell>
          <cell r="AD808" t="str">
            <v>Ａ</v>
          </cell>
          <cell r="AE808" t="str">
            <v>イ</v>
          </cell>
          <cell r="AI808" t="str">
            <v>布場雨水幹線</v>
          </cell>
          <cell r="AK808" t="str">
            <v>魚野川</v>
          </cell>
          <cell r="AL808" t="str">
            <v>魚野川伏流水</v>
          </cell>
          <cell r="AM808">
            <v>7</v>
          </cell>
          <cell r="AO808" t="str">
            <v>湯沢町</v>
          </cell>
          <cell r="AQ808" t="str">
            <v/>
          </cell>
          <cell r="AR808" t="str">
            <v>オキシディションディッチ法</v>
          </cell>
          <cell r="AS808" t="str">
            <v>1546101001</v>
          </cell>
          <cell r="AT808" t="str">
            <v/>
          </cell>
          <cell r="AU808" t="str">
            <v>10</v>
          </cell>
          <cell r="AV808" t="str">
            <v>10</v>
          </cell>
          <cell r="AW808">
            <v>1</v>
          </cell>
          <cell r="AX808">
            <v>0</v>
          </cell>
          <cell r="AY808">
            <v>0</v>
          </cell>
          <cell r="AZ808">
            <v>0</v>
          </cell>
          <cell r="BA808">
            <v>0</v>
          </cell>
          <cell r="BD808" t="str">
            <v/>
          </cell>
          <cell r="BE808">
            <v>1</v>
          </cell>
          <cell r="BG808" t="str">
            <v>1101</v>
          </cell>
        </row>
        <row r="809">
          <cell r="B809" t="str">
            <v>G154610206100200</v>
          </cell>
          <cell r="C809" t="str">
            <v>15.新潟県</v>
          </cell>
          <cell r="D809" t="str">
            <v>461</v>
          </cell>
          <cell r="E809" t="str">
            <v>湯沢町</v>
          </cell>
          <cell r="F809" t="str">
            <v>02</v>
          </cell>
          <cell r="G809" t="str">
            <v>特環 単独</v>
          </cell>
          <cell r="H809" t="str">
            <v>特定環境保全公共下水道</v>
          </cell>
          <cell r="I809" t="str">
            <v>単独</v>
          </cell>
          <cell r="J809" t="str">
            <v>002</v>
          </cell>
          <cell r="K809" t="str">
            <v>浅貝浄化センター</v>
          </cell>
          <cell r="M809" t="str">
            <v>1</v>
          </cell>
          <cell r="N809" t="str">
            <v>1</v>
          </cell>
          <cell r="Q809">
            <v>34243</v>
          </cell>
          <cell r="R809" t="str">
            <v>平成</v>
          </cell>
          <cell r="S809">
            <v>5</v>
          </cell>
          <cell r="T809">
            <v>10</v>
          </cell>
          <cell r="AB809">
            <v>9200</v>
          </cell>
          <cell r="AC809" t="str">
            <v>清津川</v>
          </cell>
          <cell r="AD809" t="str">
            <v>ＡＡ</v>
          </cell>
          <cell r="AE809" t="str">
            <v>イ</v>
          </cell>
          <cell r="AI809" t="str">
            <v>浅貝川</v>
          </cell>
          <cell r="AK809" t="str">
            <v>清津川</v>
          </cell>
          <cell r="AL809" t="str">
            <v>小千谷市取水塔</v>
          </cell>
          <cell r="AN809">
            <v>78</v>
          </cell>
          <cell r="AO809" t="str">
            <v>小千谷市</v>
          </cell>
          <cell r="AQ809" t="str">
            <v/>
          </cell>
          <cell r="AR809" t="str">
            <v>オキシディションディッチ法</v>
          </cell>
          <cell r="AS809" t="str">
            <v>1546102002</v>
          </cell>
          <cell r="AT809" t="str">
            <v/>
          </cell>
          <cell r="AU809" t="str">
            <v>10</v>
          </cell>
          <cell r="AV809" t="str">
            <v>10</v>
          </cell>
          <cell r="AW809">
            <v>0</v>
          </cell>
          <cell r="AX809">
            <v>0</v>
          </cell>
          <cell r="AY809">
            <v>0</v>
          </cell>
          <cell r="AZ809">
            <v>0</v>
          </cell>
          <cell r="BA809">
            <v>0</v>
          </cell>
          <cell r="BD809" t="str">
            <v/>
          </cell>
          <cell r="BE809">
            <v>1</v>
          </cell>
          <cell r="BG809" t="str">
            <v>1100</v>
          </cell>
        </row>
        <row r="810">
          <cell r="B810" t="str">
            <v>G154610206100300</v>
          </cell>
          <cell r="C810" t="str">
            <v>15.新潟県</v>
          </cell>
          <cell r="D810" t="str">
            <v>461</v>
          </cell>
          <cell r="E810" t="str">
            <v>湯沢町</v>
          </cell>
          <cell r="F810" t="str">
            <v>02</v>
          </cell>
          <cell r="G810" t="str">
            <v>特環 単独</v>
          </cell>
          <cell r="H810" t="str">
            <v>特定環境保全公共下水道</v>
          </cell>
          <cell r="I810" t="str">
            <v>単独</v>
          </cell>
          <cell r="J810" t="str">
            <v>003</v>
          </cell>
          <cell r="K810" t="str">
            <v>土樽・松川浄化センター</v>
          </cell>
          <cell r="M810" t="str">
            <v>1</v>
          </cell>
          <cell r="N810" t="str">
            <v>1</v>
          </cell>
          <cell r="Q810">
            <v>36220</v>
          </cell>
          <cell r="R810" t="str">
            <v>平成</v>
          </cell>
          <cell r="S810">
            <v>11</v>
          </cell>
          <cell r="T810">
            <v>3</v>
          </cell>
          <cell r="AB810">
            <v>5000</v>
          </cell>
          <cell r="AC810" t="str">
            <v>魚野川上流</v>
          </cell>
          <cell r="AD810" t="str">
            <v>ＡＡ</v>
          </cell>
          <cell r="AE810" t="str">
            <v>イ</v>
          </cell>
          <cell r="AI810" t="str">
            <v>野尻川</v>
          </cell>
          <cell r="AK810" t="str">
            <v>魚野川</v>
          </cell>
          <cell r="AL810" t="str">
            <v>魚野川伏流水</v>
          </cell>
          <cell r="AM810">
            <v>0.2</v>
          </cell>
          <cell r="AO810" t="str">
            <v>湯沢町</v>
          </cell>
          <cell r="AQ810" t="str">
            <v/>
          </cell>
          <cell r="AR810" t="str">
            <v>オキシディションディッチ法</v>
          </cell>
          <cell r="AS810" t="str">
            <v>1546102003</v>
          </cell>
          <cell r="AT810" t="str">
            <v/>
          </cell>
          <cell r="AU810" t="str">
            <v>10</v>
          </cell>
          <cell r="AV810" t="str">
            <v>10</v>
          </cell>
          <cell r="AW810">
            <v>0</v>
          </cell>
          <cell r="AX810">
            <v>0</v>
          </cell>
          <cell r="AY810">
            <v>0</v>
          </cell>
          <cell r="AZ810">
            <v>0</v>
          </cell>
          <cell r="BA810">
            <v>0</v>
          </cell>
          <cell r="BD810" t="str">
            <v/>
          </cell>
          <cell r="BE810">
            <v>1</v>
          </cell>
          <cell r="BG810" t="str">
            <v>1100</v>
          </cell>
        </row>
        <row r="811">
          <cell r="B811" t="str">
            <v>G154820206100100</v>
          </cell>
          <cell r="C811" t="str">
            <v>15.新潟県</v>
          </cell>
          <cell r="D811" t="str">
            <v>482</v>
          </cell>
          <cell r="E811" t="str">
            <v>津南町</v>
          </cell>
          <cell r="F811" t="str">
            <v>02</v>
          </cell>
          <cell r="G811" t="str">
            <v>特環 単独</v>
          </cell>
          <cell r="H811" t="str">
            <v>特定環境保全公共下水道</v>
          </cell>
          <cell r="I811" t="str">
            <v>単独</v>
          </cell>
          <cell r="J811" t="str">
            <v>001</v>
          </cell>
          <cell r="K811" t="str">
            <v>津南浄化センター</v>
          </cell>
          <cell r="M811" t="str">
            <v>1</v>
          </cell>
          <cell r="N811" t="str">
            <v>1</v>
          </cell>
          <cell r="Q811">
            <v>36617</v>
          </cell>
          <cell r="R811" t="str">
            <v>平成</v>
          </cell>
          <cell r="S811">
            <v>12</v>
          </cell>
          <cell r="T811">
            <v>4</v>
          </cell>
          <cell r="AB811">
            <v>15967</v>
          </cell>
          <cell r="AC811" t="str">
            <v>信濃川</v>
          </cell>
          <cell r="AD811" t="str">
            <v>Ａ</v>
          </cell>
          <cell r="AE811" t="str">
            <v>ロ</v>
          </cell>
          <cell r="AF811">
            <v>15</v>
          </cell>
          <cell r="AI811" t="str">
            <v>下島川</v>
          </cell>
          <cell r="AK811" t="str">
            <v>船津川</v>
          </cell>
          <cell r="AL811" t="str">
            <v>小千谷市水道</v>
          </cell>
          <cell r="AN811">
            <v>60</v>
          </cell>
          <cell r="AO811" t="str">
            <v>小千谷市</v>
          </cell>
          <cell r="AQ811" t="str">
            <v/>
          </cell>
          <cell r="AR811" t="str">
            <v>オキシディションディッチ法</v>
          </cell>
          <cell r="AS811" t="str">
            <v>1548202001</v>
          </cell>
          <cell r="AT811" t="str">
            <v/>
          </cell>
          <cell r="AU811" t="str">
            <v>10</v>
          </cell>
          <cell r="AV811" t="str">
            <v>10</v>
          </cell>
          <cell r="AW811">
            <v>0</v>
          </cell>
          <cell r="AX811">
            <v>0</v>
          </cell>
          <cell r="AY811">
            <v>0</v>
          </cell>
          <cell r="AZ811">
            <v>0</v>
          </cell>
          <cell r="BA811">
            <v>0</v>
          </cell>
          <cell r="BD811" t="str">
            <v/>
          </cell>
          <cell r="BE811">
            <v>1</v>
          </cell>
          <cell r="BG811" t="str">
            <v>1100</v>
          </cell>
        </row>
        <row r="812">
          <cell r="B812" t="str">
            <v>G155810206100100</v>
          </cell>
          <cell r="C812" t="str">
            <v>15.新潟県</v>
          </cell>
          <cell r="D812" t="str">
            <v>581</v>
          </cell>
          <cell r="E812" t="str">
            <v>関川村</v>
          </cell>
          <cell r="F812" t="str">
            <v>02</v>
          </cell>
          <cell r="G812" t="str">
            <v>特環 単独</v>
          </cell>
          <cell r="H812" t="str">
            <v>特定環境保全公共下水道</v>
          </cell>
          <cell r="I812" t="str">
            <v>単独</v>
          </cell>
          <cell r="J812" t="str">
            <v>001</v>
          </cell>
          <cell r="K812" t="str">
            <v>せきかわ浄化センター</v>
          </cell>
          <cell r="M812" t="str">
            <v>1</v>
          </cell>
          <cell r="N812" t="str">
            <v>1</v>
          </cell>
          <cell r="Q812">
            <v>36982</v>
          </cell>
          <cell r="R812" t="str">
            <v>平成</v>
          </cell>
          <cell r="S812">
            <v>13</v>
          </cell>
          <cell r="T812">
            <v>4</v>
          </cell>
          <cell r="AB812">
            <v>10800</v>
          </cell>
          <cell r="AC812" t="str">
            <v>荒川中流</v>
          </cell>
          <cell r="AD812" t="str">
            <v>Ａ</v>
          </cell>
          <cell r="AE812" t="str">
            <v>ハ</v>
          </cell>
          <cell r="AK812" t="str">
            <v>荒川</v>
          </cell>
          <cell r="AL812" t="str">
            <v>長政用水路</v>
          </cell>
          <cell r="AN812">
            <v>2</v>
          </cell>
          <cell r="AO812" t="str">
            <v>胎内市</v>
          </cell>
          <cell r="AQ812" t="str">
            <v/>
          </cell>
          <cell r="AR812" t="str">
            <v>オキシディションディッチ法</v>
          </cell>
          <cell r="AS812" t="str">
            <v>1558102001</v>
          </cell>
          <cell r="AT812" t="str">
            <v/>
          </cell>
          <cell r="AU812" t="str">
            <v>10</v>
          </cell>
          <cell r="AV812" t="str">
            <v>10</v>
          </cell>
          <cell r="AW812">
            <v>0</v>
          </cell>
          <cell r="AX812">
            <v>0</v>
          </cell>
          <cell r="AY812">
            <v>0</v>
          </cell>
          <cell r="AZ812">
            <v>0</v>
          </cell>
          <cell r="BA812">
            <v>0</v>
          </cell>
          <cell r="BD812" t="str">
            <v/>
          </cell>
          <cell r="BE812">
            <v>1</v>
          </cell>
          <cell r="BG812" t="str">
            <v>1100</v>
          </cell>
        </row>
        <row r="813">
          <cell r="B813" t="str">
            <v>G160018106100100</v>
          </cell>
          <cell r="C813" t="str">
            <v>16.富山県</v>
          </cell>
          <cell r="D813" t="str">
            <v>001</v>
          </cell>
          <cell r="E813" t="str">
            <v>小矢部川流域</v>
          </cell>
          <cell r="F813" t="str">
            <v>81</v>
          </cell>
          <cell r="G813" t="str">
            <v>流域</v>
          </cell>
          <cell r="H813" t="str">
            <v>流域下水道</v>
          </cell>
          <cell r="I813" t="str">
            <v/>
          </cell>
          <cell r="J813" t="str">
            <v>001</v>
          </cell>
          <cell r="K813" t="str">
            <v>二上浄化センター</v>
          </cell>
          <cell r="M813" t="str">
            <v>1</v>
          </cell>
          <cell r="N813" t="str">
            <v>1</v>
          </cell>
          <cell r="O813" t="str">
            <v>1</v>
          </cell>
          <cell r="P813" t="str">
            <v>1</v>
          </cell>
          <cell r="Q813">
            <v>32203</v>
          </cell>
          <cell r="R813" t="str">
            <v>昭和</v>
          </cell>
          <cell r="S813">
            <v>63</v>
          </cell>
          <cell r="T813">
            <v>3</v>
          </cell>
          <cell r="AB813">
            <v>179500</v>
          </cell>
          <cell r="AC813" t="str">
            <v>小矢部川下流（甲）</v>
          </cell>
          <cell r="AD813" t="str">
            <v>Ｂ</v>
          </cell>
          <cell r="AE813" t="str">
            <v>イ</v>
          </cell>
          <cell r="AF813">
            <v>15</v>
          </cell>
          <cell r="AK813" t="str">
            <v>小矢部川</v>
          </cell>
          <cell r="AM813">
            <v>2.8</v>
          </cell>
          <cell r="AO813" t="str">
            <v>氷見市</v>
          </cell>
          <cell r="AQ813" t="str">
            <v/>
          </cell>
          <cell r="AR813" t="str">
            <v>標準活性汚泥法</v>
          </cell>
          <cell r="AS813" t="str">
            <v>1600181001</v>
          </cell>
          <cell r="AT813" t="str">
            <v/>
          </cell>
          <cell r="AU813" t="str">
            <v>11</v>
          </cell>
          <cell r="AV813" t="str">
            <v>11</v>
          </cell>
          <cell r="AW813">
            <v>1</v>
          </cell>
          <cell r="AX813">
            <v>0</v>
          </cell>
          <cell r="AY813">
            <v>0</v>
          </cell>
          <cell r="AZ813">
            <v>0</v>
          </cell>
          <cell r="BA813">
            <v>0</v>
          </cell>
          <cell r="BD813" t="str">
            <v/>
          </cell>
          <cell r="BE813">
            <v>1</v>
          </cell>
          <cell r="BG813" t="str">
            <v>1111</v>
          </cell>
        </row>
        <row r="814">
          <cell r="B814" t="str">
            <v>G160028106100100</v>
          </cell>
          <cell r="C814" t="str">
            <v>16.富山県</v>
          </cell>
          <cell r="D814" t="str">
            <v>002</v>
          </cell>
          <cell r="E814" t="str">
            <v>神通川左岸流域</v>
          </cell>
          <cell r="F814" t="str">
            <v>81</v>
          </cell>
          <cell r="G814" t="str">
            <v>流域</v>
          </cell>
          <cell r="H814" t="str">
            <v>流域下水道</v>
          </cell>
          <cell r="I814" t="str">
            <v/>
          </cell>
          <cell r="J814" t="str">
            <v>001</v>
          </cell>
          <cell r="K814" t="str">
            <v>神通川左岸浄化センター</v>
          </cell>
          <cell r="M814" t="str">
            <v>1</v>
          </cell>
          <cell r="N814" t="str">
            <v>1</v>
          </cell>
          <cell r="O814" t="str">
            <v>1</v>
          </cell>
          <cell r="P814" t="str">
            <v>1</v>
          </cell>
          <cell r="Q814">
            <v>35765</v>
          </cell>
          <cell r="R814" t="str">
            <v>平成</v>
          </cell>
          <cell r="S814">
            <v>9</v>
          </cell>
          <cell r="T814">
            <v>12</v>
          </cell>
          <cell r="AB814">
            <v>72900</v>
          </cell>
          <cell r="AC814" t="str">
            <v>富山湾海域</v>
          </cell>
          <cell r="AD814" t="str">
            <v>Ａ</v>
          </cell>
          <cell r="AE814" t="str">
            <v>イ</v>
          </cell>
          <cell r="AF814">
            <v>15</v>
          </cell>
          <cell r="AI814" t="str">
            <v>富山湾</v>
          </cell>
          <cell r="AQ814" t="str">
            <v/>
          </cell>
          <cell r="AR814" t="str">
            <v>標準活性汚泥法</v>
          </cell>
          <cell r="AS814" t="str">
            <v>1600281001</v>
          </cell>
          <cell r="AT814" t="str">
            <v/>
          </cell>
          <cell r="AU814" t="str">
            <v>11</v>
          </cell>
          <cell r="AV814" t="str">
            <v>11</v>
          </cell>
          <cell r="AW814">
            <v>1</v>
          </cell>
          <cell r="AX814">
            <v>0</v>
          </cell>
          <cell r="AY814">
            <v>0</v>
          </cell>
          <cell r="AZ814">
            <v>0</v>
          </cell>
          <cell r="BA814">
            <v>0</v>
          </cell>
          <cell r="BD814" t="str">
            <v/>
          </cell>
          <cell r="BE814">
            <v>1</v>
          </cell>
          <cell r="BG814" t="str">
            <v>1111</v>
          </cell>
        </row>
        <row r="815">
          <cell r="B815" t="str">
            <v>G162010106100100</v>
          </cell>
          <cell r="C815" t="str">
            <v>16.富山県</v>
          </cell>
          <cell r="D815" t="str">
            <v>201</v>
          </cell>
          <cell r="E815" t="str">
            <v>富山市</v>
          </cell>
          <cell r="F815" t="str">
            <v>01</v>
          </cell>
          <cell r="G815" t="str">
            <v>公共 単独</v>
          </cell>
          <cell r="H815" t="str">
            <v>公共下水道</v>
          </cell>
          <cell r="I815" t="str">
            <v>単独</v>
          </cell>
          <cell r="J815" t="str">
            <v>001</v>
          </cell>
          <cell r="K815" t="str">
            <v>浜黒崎浄化センター</v>
          </cell>
          <cell r="M815" t="str">
            <v>1</v>
          </cell>
          <cell r="N815" t="str">
            <v>1</v>
          </cell>
          <cell r="P815" t="str">
            <v>1</v>
          </cell>
          <cell r="Q815">
            <v>28946</v>
          </cell>
          <cell r="R815" t="str">
            <v>昭和</v>
          </cell>
          <cell r="S815">
            <v>54</v>
          </cell>
          <cell r="T815">
            <v>4</v>
          </cell>
          <cell r="AB815">
            <v>98360</v>
          </cell>
          <cell r="AC815" t="str">
            <v>富山湾</v>
          </cell>
          <cell r="AD815" t="str">
            <v>Ａ</v>
          </cell>
          <cell r="AE815" t="str">
            <v>イ</v>
          </cell>
          <cell r="AF815">
            <v>14</v>
          </cell>
          <cell r="AI815" t="str">
            <v>富山湾</v>
          </cell>
          <cell r="AL815" t="str">
            <v>常西用水流杉取口</v>
          </cell>
          <cell r="AM815">
            <v>20</v>
          </cell>
          <cell r="AO815" t="str">
            <v>富山市</v>
          </cell>
          <cell r="AQ815" t="str">
            <v/>
          </cell>
          <cell r="AR815" t="str">
            <v>標準活性汚泥法</v>
          </cell>
          <cell r="AS815" t="str">
            <v>1620101001</v>
          </cell>
          <cell r="AT815" t="str">
            <v/>
          </cell>
          <cell r="AU815" t="str">
            <v>10</v>
          </cell>
          <cell r="AV815" t="str">
            <v>10</v>
          </cell>
          <cell r="AW815">
            <v>1</v>
          </cell>
          <cell r="AX815">
            <v>0</v>
          </cell>
          <cell r="AY815">
            <v>0</v>
          </cell>
          <cell r="AZ815">
            <v>0</v>
          </cell>
          <cell r="BA815">
            <v>0</v>
          </cell>
          <cell r="BD815" t="str">
            <v/>
          </cell>
          <cell r="BE815">
            <v>1</v>
          </cell>
          <cell r="BG815" t="str">
            <v>1101</v>
          </cell>
        </row>
        <row r="816">
          <cell r="B816" t="str">
            <v>G162010106100200</v>
          </cell>
          <cell r="C816" t="str">
            <v>16.富山県</v>
          </cell>
          <cell r="D816" t="str">
            <v>201</v>
          </cell>
          <cell r="E816" t="str">
            <v>富山市</v>
          </cell>
          <cell r="F816" t="str">
            <v>01</v>
          </cell>
          <cell r="G816" t="str">
            <v>公共 単独</v>
          </cell>
          <cell r="H816" t="str">
            <v>公共下水道</v>
          </cell>
          <cell r="I816" t="str">
            <v>単独</v>
          </cell>
          <cell r="J816" t="str">
            <v>002</v>
          </cell>
          <cell r="K816" t="str">
            <v>大山下水処理場</v>
          </cell>
          <cell r="M816" t="str">
            <v>1</v>
          </cell>
          <cell r="N816" t="str">
            <v>1</v>
          </cell>
          <cell r="Q816">
            <v>31868</v>
          </cell>
          <cell r="R816" t="str">
            <v>昭和</v>
          </cell>
          <cell r="S816">
            <v>62</v>
          </cell>
          <cell r="T816">
            <v>4</v>
          </cell>
          <cell r="AB816">
            <v>29200</v>
          </cell>
          <cell r="AC816" t="str">
            <v>神通川水系</v>
          </cell>
          <cell r="AD816" t="str">
            <v>Ａ</v>
          </cell>
          <cell r="AE816" t="str">
            <v>イ</v>
          </cell>
          <cell r="AF816">
            <v>15</v>
          </cell>
          <cell r="AJ816" t="str">
            <v>熊野川</v>
          </cell>
          <cell r="AQ816" t="str">
            <v/>
          </cell>
          <cell r="AR816" t="str">
            <v>標準活性汚泥法</v>
          </cell>
          <cell r="AS816" t="str">
            <v>1620101002</v>
          </cell>
          <cell r="AT816" t="str">
            <v/>
          </cell>
          <cell r="AU816" t="str">
            <v>10</v>
          </cell>
          <cell r="AV816" t="str">
            <v>10</v>
          </cell>
          <cell r="AW816">
            <v>0</v>
          </cell>
          <cell r="AX816">
            <v>0</v>
          </cell>
          <cell r="AY816">
            <v>0</v>
          </cell>
          <cell r="AZ816">
            <v>0</v>
          </cell>
          <cell r="BA816">
            <v>0</v>
          </cell>
          <cell r="BD816" t="str">
            <v/>
          </cell>
          <cell r="BE816">
            <v>1</v>
          </cell>
          <cell r="BG816" t="str">
            <v>1100</v>
          </cell>
        </row>
        <row r="817">
          <cell r="B817" t="str">
            <v>G162010106100300</v>
          </cell>
          <cell r="C817" t="str">
            <v>16.富山県</v>
          </cell>
          <cell r="D817" t="str">
            <v>201</v>
          </cell>
          <cell r="E817" t="str">
            <v>富山市</v>
          </cell>
          <cell r="F817" t="str">
            <v>01</v>
          </cell>
          <cell r="G817" t="str">
            <v>公共 単独</v>
          </cell>
          <cell r="H817" t="str">
            <v>公共下水道</v>
          </cell>
          <cell r="I817" t="str">
            <v>単独</v>
          </cell>
          <cell r="J817" t="str">
            <v>003</v>
          </cell>
          <cell r="K817" t="str">
            <v>大沢野浄化センター</v>
          </cell>
          <cell r="M817" t="str">
            <v>1</v>
          </cell>
          <cell r="N817" t="str">
            <v>1</v>
          </cell>
          <cell r="Q817">
            <v>33695</v>
          </cell>
          <cell r="R817" t="str">
            <v>平成</v>
          </cell>
          <cell r="S817">
            <v>4</v>
          </cell>
          <cell r="T817">
            <v>4</v>
          </cell>
          <cell r="AB817">
            <v>22663</v>
          </cell>
          <cell r="AC817" t="str">
            <v>神通川水系</v>
          </cell>
          <cell r="AD817" t="str">
            <v>Ａ</v>
          </cell>
          <cell r="AE817" t="str">
            <v>イ</v>
          </cell>
          <cell r="AF817">
            <v>15</v>
          </cell>
          <cell r="AJ817" t="str">
            <v>大久保川</v>
          </cell>
          <cell r="AQ817" t="str">
            <v/>
          </cell>
          <cell r="AR817" t="str">
            <v>回分式活性汚泥法</v>
          </cell>
          <cell r="AS817" t="str">
            <v>1620101003</v>
          </cell>
          <cell r="AT817" t="str">
            <v/>
          </cell>
          <cell r="AU817" t="str">
            <v>10</v>
          </cell>
          <cell r="AV817" t="str">
            <v>10</v>
          </cell>
          <cell r="AW817">
            <v>0</v>
          </cell>
          <cell r="AX817">
            <v>0</v>
          </cell>
          <cell r="AY817">
            <v>0</v>
          </cell>
          <cell r="AZ817">
            <v>0</v>
          </cell>
          <cell r="BA817">
            <v>0</v>
          </cell>
          <cell r="BD817" t="str">
            <v/>
          </cell>
          <cell r="BE817">
            <v>1</v>
          </cell>
          <cell r="BG817" t="str">
            <v>1100</v>
          </cell>
        </row>
        <row r="818">
          <cell r="B818" t="str">
            <v>G162010106100400</v>
          </cell>
          <cell r="C818" t="str">
            <v>16.富山県</v>
          </cell>
          <cell r="D818" t="str">
            <v>201</v>
          </cell>
          <cell r="E818" t="str">
            <v>富山市</v>
          </cell>
          <cell r="F818" t="str">
            <v>01</v>
          </cell>
          <cell r="G818" t="str">
            <v>公共 単独</v>
          </cell>
          <cell r="H818" t="str">
            <v>公共下水道</v>
          </cell>
          <cell r="I818" t="str">
            <v>単独</v>
          </cell>
          <cell r="J818" t="str">
            <v>004</v>
          </cell>
          <cell r="K818" t="str">
            <v>水橋浄化センター</v>
          </cell>
          <cell r="M818" t="str">
            <v>1</v>
          </cell>
          <cell r="N818" t="str">
            <v>1</v>
          </cell>
          <cell r="P818" t="str">
            <v>1</v>
          </cell>
          <cell r="Q818">
            <v>34639</v>
          </cell>
          <cell r="R818" t="str">
            <v>平成</v>
          </cell>
          <cell r="S818">
            <v>6</v>
          </cell>
          <cell r="T818">
            <v>11</v>
          </cell>
          <cell r="AB818">
            <v>38305</v>
          </cell>
          <cell r="AD818" t="str">
            <v>Ａ</v>
          </cell>
          <cell r="AE818" t="str">
            <v>イ</v>
          </cell>
          <cell r="AF818">
            <v>14</v>
          </cell>
          <cell r="AI818" t="str">
            <v>辻ヶ堂排水路</v>
          </cell>
          <cell r="AK818" t="str">
            <v>常願寺川</v>
          </cell>
          <cell r="AL818" t="str">
            <v>常西用水流杉分取口</v>
          </cell>
          <cell r="AM818">
            <v>11.5</v>
          </cell>
          <cell r="AO818" t="str">
            <v>富山市</v>
          </cell>
          <cell r="AQ818" t="str">
            <v/>
          </cell>
          <cell r="AR818" t="str">
            <v>標準活性汚泥法</v>
          </cell>
          <cell r="AS818" t="str">
            <v>1620101004</v>
          </cell>
          <cell r="AT818" t="str">
            <v/>
          </cell>
          <cell r="AU818" t="str">
            <v>10</v>
          </cell>
          <cell r="AV818" t="str">
            <v>10</v>
          </cell>
          <cell r="AW818">
            <v>1</v>
          </cell>
          <cell r="AX818">
            <v>0</v>
          </cell>
          <cell r="AY818">
            <v>0</v>
          </cell>
          <cell r="AZ818">
            <v>0</v>
          </cell>
          <cell r="BA818">
            <v>0</v>
          </cell>
          <cell r="BD818" t="str">
            <v/>
          </cell>
          <cell r="BE818">
            <v>1</v>
          </cell>
          <cell r="BG818" t="str">
            <v>1101</v>
          </cell>
        </row>
        <row r="819">
          <cell r="B819" t="str">
            <v>G162010206100500</v>
          </cell>
          <cell r="C819" t="str">
            <v>16.富山県</v>
          </cell>
          <cell r="D819" t="str">
            <v>201</v>
          </cell>
          <cell r="E819" t="str">
            <v>富山市</v>
          </cell>
          <cell r="F819" t="str">
            <v>02</v>
          </cell>
          <cell r="G819" t="str">
            <v>特環 単独</v>
          </cell>
          <cell r="H819" t="str">
            <v>特定環境保全公共下水道</v>
          </cell>
          <cell r="I819" t="str">
            <v>単独</v>
          </cell>
          <cell r="J819" t="str">
            <v>005</v>
          </cell>
          <cell r="K819" t="str">
            <v>山田浄化センター</v>
          </cell>
          <cell r="M819" t="str">
            <v>1</v>
          </cell>
          <cell r="N819" t="str">
            <v>1</v>
          </cell>
          <cell r="Q819">
            <v>32933</v>
          </cell>
          <cell r="R819" t="str">
            <v>平成</v>
          </cell>
          <cell r="S819">
            <v>2</v>
          </cell>
          <cell r="T819">
            <v>3</v>
          </cell>
          <cell r="AB819">
            <v>1000</v>
          </cell>
          <cell r="AC819" t="str">
            <v>設定なし</v>
          </cell>
          <cell r="AF819">
            <v>15</v>
          </cell>
          <cell r="AK819" t="str">
            <v>山田川</v>
          </cell>
          <cell r="AL819" t="str">
            <v>若土水源</v>
          </cell>
          <cell r="AM819">
            <v>6</v>
          </cell>
          <cell r="AO819" t="str">
            <v>富山市</v>
          </cell>
          <cell r="AQ819" t="str">
            <v/>
          </cell>
          <cell r="AR819" t="str">
            <v>オキシディションディッチ法</v>
          </cell>
          <cell r="AS819" t="str">
            <v>1620102005</v>
          </cell>
          <cell r="AT819" t="str">
            <v/>
          </cell>
          <cell r="AU819" t="str">
            <v>10</v>
          </cell>
          <cell r="AV819" t="str">
            <v>10</v>
          </cell>
          <cell r="AW819">
            <v>0</v>
          </cell>
          <cell r="AX819">
            <v>0</v>
          </cell>
          <cell r="AY819">
            <v>0</v>
          </cell>
          <cell r="AZ819">
            <v>0</v>
          </cell>
          <cell r="BA819">
            <v>0</v>
          </cell>
          <cell r="BD819" t="str">
            <v/>
          </cell>
          <cell r="BE819">
            <v>1</v>
          </cell>
          <cell r="BG819" t="str">
            <v>1100</v>
          </cell>
        </row>
        <row r="820">
          <cell r="B820" t="str">
            <v>G162010206100600</v>
          </cell>
          <cell r="C820" t="str">
            <v>16.富山県</v>
          </cell>
          <cell r="D820" t="str">
            <v>201</v>
          </cell>
          <cell r="E820" t="str">
            <v>富山市</v>
          </cell>
          <cell r="F820" t="str">
            <v>02</v>
          </cell>
          <cell r="G820" t="str">
            <v>特環 単独</v>
          </cell>
          <cell r="H820" t="str">
            <v>特定環境保全公共下水道</v>
          </cell>
          <cell r="I820" t="str">
            <v>単独</v>
          </cell>
          <cell r="J820" t="str">
            <v>006</v>
          </cell>
          <cell r="K820" t="str">
            <v>倉垣浄水園</v>
          </cell>
          <cell r="M820" t="str">
            <v>1</v>
          </cell>
          <cell r="N820" t="str">
            <v>1</v>
          </cell>
          <cell r="Q820">
            <v>34029</v>
          </cell>
          <cell r="R820" t="str">
            <v>平成</v>
          </cell>
          <cell r="S820">
            <v>5</v>
          </cell>
          <cell r="T820">
            <v>3</v>
          </cell>
          <cell r="AB820">
            <v>8446</v>
          </cell>
          <cell r="AC820" t="str">
            <v>設定なし</v>
          </cell>
          <cell r="AI820" t="str">
            <v>下須川</v>
          </cell>
          <cell r="AQ820" t="str">
            <v/>
          </cell>
          <cell r="AR820" t="str">
            <v>回分式活性汚泥法</v>
          </cell>
          <cell r="AS820" t="str">
            <v>1620102006</v>
          </cell>
          <cell r="AT820" t="str">
            <v/>
          </cell>
          <cell r="AU820" t="str">
            <v>10</v>
          </cell>
          <cell r="AV820" t="str">
            <v>10</v>
          </cell>
          <cell r="AW820">
            <v>0</v>
          </cell>
          <cell r="AX820">
            <v>0</v>
          </cell>
          <cell r="AY820">
            <v>0</v>
          </cell>
          <cell r="AZ820">
            <v>0</v>
          </cell>
          <cell r="BA820">
            <v>0</v>
          </cell>
          <cell r="BD820" t="str">
            <v/>
          </cell>
          <cell r="BE820">
            <v>1</v>
          </cell>
          <cell r="BG820" t="str">
            <v>1100</v>
          </cell>
        </row>
        <row r="821">
          <cell r="B821" t="str">
            <v>G162010206100700</v>
          </cell>
          <cell r="C821" t="str">
            <v>16.富山県</v>
          </cell>
          <cell r="D821" t="str">
            <v>201</v>
          </cell>
          <cell r="E821" t="str">
            <v>富山市</v>
          </cell>
          <cell r="F821" t="str">
            <v>02</v>
          </cell>
          <cell r="G821" t="str">
            <v>特環 単独</v>
          </cell>
          <cell r="H821" t="str">
            <v>特定環境保全公共下水道</v>
          </cell>
          <cell r="I821" t="str">
            <v>単独</v>
          </cell>
          <cell r="J821" t="str">
            <v>007</v>
          </cell>
          <cell r="K821" t="str">
            <v>小見浄化センター</v>
          </cell>
          <cell r="M821" t="str">
            <v>1</v>
          </cell>
          <cell r="N821" t="str">
            <v>1</v>
          </cell>
          <cell r="Q821">
            <v>36465</v>
          </cell>
          <cell r="R821" t="str">
            <v>平成</v>
          </cell>
          <cell r="S821">
            <v>11</v>
          </cell>
          <cell r="T821">
            <v>11</v>
          </cell>
          <cell r="AB821">
            <v>4600</v>
          </cell>
          <cell r="AC821" t="str">
            <v>常願寺川水系</v>
          </cell>
          <cell r="AD821" t="str">
            <v>ＡＡ</v>
          </cell>
          <cell r="AE821" t="str">
            <v>イ</v>
          </cell>
          <cell r="AF821">
            <v>15</v>
          </cell>
          <cell r="AI821" t="str">
            <v>農業用水</v>
          </cell>
          <cell r="AK821" t="str">
            <v>常願寺川</v>
          </cell>
          <cell r="AQ821" t="str">
            <v/>
          </cell>
          <cell r="AR821" t="str">
            <v>好気性ろ床法</v>
          </cell>
          <cell r="AS821" t="str">
            <v>1620102007</v>
          </cell>
          <cell r="AT821" t="str">
            <v/>
          </cell>
          <cell r="AU821" t="str">
            <v>10</v>
          </cell>
          <cell r="AV821" t="str">
            <v>10</v>
          </cell>
          <cell r="AW821">
            <v>0</v>
          </cell>
          <cell r="AX821">
            <v>0</v>
          </cell>
          <cell r="AY821">
            <v>0</v>
          </cell>
          <cell r="AZ821">
            <v>0</v>
          </cell>
          <cell r="BA821">
            <v>0</v>
          </cell>
          <cell r="BD821" t="str">
            <v/>
          </cell>
          <cell r="BE821">
            <v>1</v>
          </cell>
          <cell r="BG821" t="str">
            <v>1100</v>
          </cell>
        </row>
        <row r="822">
          <cell r="B822" t="str">
            <v>G162010206100800</v>
          </cell>
          <cell r="C822" t="str">
            <v>16.富山県</v>
          </cell>
          <cell r="D822" t="str">
            <v>201</v>
          </cell>
          <cell r="E822" t="str">
            <v>富山市</v>
          </cell>
          <cell r="F822" t="str">
            <v>02</v>
          </cell>
          <cell r="G822" t="str">
            <v>特環 単独</v>
          </cell>
          <cell r="H822" t="str">
            <v>特定環境保全公共下水道</v>
          </cell>
          <cell r="I822" t="str">
            <v>単独</v>
          </cell>
          <cell r="J822" t="str">
            <v>008</v>
          </cell>
          <cell r="K822" t="str">
            <v>楡原浄化センター</v>
          </cell>
          <cell r="M822" t="str">
            <v>1</v>
          </cell>
          <cell r="N822" t="str">
            <v>1</v>
          </cell>
          <cell r="Q822">
            <v>38047</v>
          </cell>
          <cell r="R822" t="str">
            <v>平成</v>
          </cell>
          <cell r="S822">
            <v>16</v>
          </cell>
          <cell r="T822">
            <v>3</v>
          </cell>
          <cell r="AB822">
            <v>4600</v>
          </cell>
          <cell r="AC822" t="str">
            <v>神通川水系</v>
          </cell>
          <cell r="AD822" t="str">
            <v>Ａ</v>
          </cell>
          <cell r="AE822" t="str">
            <v>イ</v>
          </cell>
          <cell r="AF822">
            <v>20</v>
          </cell>
          <cell r="AI822" t="str">
            <v>用排水路</v>
          </cell>
          <cell r="AK822" t="str">
            <v>神通川</v>
          </cell>
          <cell r="AQ822" t="str">
            <v/>
          </cell>
          <cell r="AR822" t="str">
            <v>オキシディションディッチ法</v>
          </cell>
          <cell r="AS822" t="str">
            <v>1620102008</v>
          </cell>
          <cell r="AT822" t="str">
            <v/>
          </cell>
          <cell r="AU822" t="str">
            <v>10</v>
          </cell>
          <cell r="AV822" t="str">
            <v>10</v>
          </cell>
          <cell r="AW822">
            <v>0</v>
          </cell>
          <cell r="AX822">
            <v>0</v>
          </cell>
          <cell r="AY822">
            <v>0</v>
          </cell>
          <cell r="AZ822">
            <v>0</v>
          </cell>
          <cell r="BA822">
            <v>0</v>
          </cell>
          <cell r="BD822" t="str">
            <v/>
          </cell>
          <cell r="BE822">
            <v>1</v>
          </cell>
          <cell r="BG822" t="str">
            <v>1100</v>
          </cell>
        </row>
        <row r="823">
          <cell r="B823" t="str">
            <v>G162010206100900</v>
          </cell>
          <cell r="C823" t="str">
            <v>16.富山県</v>
          </cell>
          <cell r="D823" t="str">
            <v>201</v>
          </cell>
          <cell r="E823" t="str">
            <v>富山市</v>
          </cell>
          <cell r="F823" t="str">
            <v>02</v>
          </cell>
          <cell r="G823" t="str">
            <v>特環 単独</v>
          </cell>
          <cell r="H823" t="str">
            <v>特定環境保全公共下水道</v>
          </cell>
          <cell r="I823" t="str">
            <v>単独</v>
          </cell>
          <cell r="J823" t="str">
            <v>009</v>
          </cell>
          <cell r="K823" t="str">
            <v>南部地区浄化センター</v>
          </cell>
          <cell r="M823" t="str">
            <v>1</v>
          </cell>
          <cell r="N823" t="str">
            <v>1</v>
          </cell>
          <cell r="Q823">
            <v>38777</v>
          </cell>
          <cell r="R823" t="str">
            <v>平成</v>
          </cell>
          <cell r="S823">
            <v>18</v>
          </cell>
          <cell r="T823">
            <v>3</v>
          </cell>
          <cell r="AB823">
            <v>2000</v>
          </cell>
          <cell r="AC823" t="str">
            <v>神通川水系</v>
          </cell>
          <cell r="AD823" t="str">
            <v>Ａ</v>
          </cell>
          <cell r="AE823" t="str">
            <v>イ</v>
          </cell>
          <cell r="AF823">
            <v>15</v>
          </cell>
          <cell r="AI823" t="str">
            <v>用排水路</v>
          </cell>
          <cell r="AK823" t="str">
            <v>神通川</v>
          </cell>
          <cell r="AQ823" t="str">
            <v/>
          </cell>
          <cell r="AR823" t="str">
            <v>オキシディションディッチ法</v>
          </cell>
          <cell r="AS823" t="str">
            <v>1620102009</v>
          </cell>
          <cell r="AT823" t="str">
            <v/>
          </cell>
          <cell r="AU823" t="str">
            <v>10</v>
          </cell>
          <cell r="AV823" t="str">
            <v>10</v>
          </cell>
          <cell r="AW823">
            <v>0</v>
          </cell>
          <cell r="AX823">
            <v>0</v>
          </cell>
          <cell r="AY823">
            <v>0</v>
          </cell>
          <cell r="AZ823">
            <v>0</v>
          </cell>
          <cell r="BA823">
            <v>0</v>
          </cell>
          <cell r="BD823" t="str">
            <v/>
          </cell>
          <cell r="BE823">
            <v>1</v>
          </cell>
          <cell r="BG823" t="str">
            <v>1100</v>
          </cell>
        </row>
        <row r="824">
          <cell r="B824" t="str">
            <v>G162020106100100</v>
          </cell>
          <cell r="C824" t="str">
            <v>16.富山県</v>
          </cell>
          <cell r="D824" t="str">
            <v>202</v>
          </cell>
          <cell r="E824" t="str">
            <v>高岡市</v>
          </cell>
          <cell r="F824" t="str">
            <v>01</v>
          </cell>
          <cell r="G824" t="str">
            <v>公共 単独</v>
          </cell>
          <cell r="H824" t="str">
            <v>公共下水道</v>
          </cell>
          <cell r="I824" t="str">
            <v>単独</v>
          </cell>
          <cell r="J824" t="str">
            <v>001</v>
          </cell>
          <cell r="K824" t="str">
            <v>四屋浄化センター</v>
          </cell>
          <cell r="M824" t="str">
            <v>1</v>
          </cell>
          <cell r="N824" t="str">
            <v>1</v>
          </cell>
          <cell r="Q824">
            <v>23833</v>
          </cell>
          <cell r="R824" t="str">
            <v>昭和</v>
          </cell>
          <cell r="S824">
            <v>40</v>
          </cell>
          <cell r="T824">
            <v>4</v>
          </cell>
          <cell r="AB824">
            <v>29700</v>
          </cell>
          <cell r="AC824" t="str">
            <v>小矢部川水係</v>
          </cell>
          <cell r="AD824" t="str">
            <v>Ｃ</v>
          </cell>
          <cell r="AE824" t="str">
            <v>イ</v>
          </cell>
          <cell r="AF824">
            <v>15</v>
          </cell>
          <cell r="AI824" t="str">
            <v>千保川</v>
          </cell>
          <cell r="AQ824" t="str">
            <v/>
          </cell>
          <cell r="AR824" t="str">
            <v>標準活性汚泥法</v>
          </cell>
          <cell r="AS824" t="str">
            <v>1620201001</v>
          </cell>
          <cell r="AT824" t="str">
            <v/>
          </cell>
          <cell r="AU824" t="str">
            <v>10</v>
          </cell>
          <cell r="AV824" t="str">
            <v>10</v>
          </cell>
          <cell r="AW824">
            <v>0</v>
          </cell>
          <cell r="AX824">
            <v>0</v>
          </cell>
          <cell r="AY824">
            <v>0</v>
          </cell>
          <cell r="AZ824">
            <v>0</v>
          </cell>
          <cell r="BA824">
            <v>0</v>
          </cell>
          <cell r="BD824" t="str">
            <v/>
          </cell>
          <cell r="BE824">
            <v>1</v>
          </cell>
          <cell r="BG824" t="str">
            <v>1100</v>
          </cell>
        </row>
        <row r="825">
          <cell r="B825" t="str">
            <v>G162020106100200</v>
          </cell>
          <cell r="C825" t="str">
            <v>16.富山県</v>
          </cell>
          <cell r="D825" t="str">
            <v>202</v>
          </cell>
          <cell r="E825" t="str">
            <v>高岡市</v>
          </cell>
          <cell r="F825" t="str">
            <v>01</v>
          </cell>
          <cell r="G825" t="str">
            <v>公共 単独</v>
          </cell>
          <cell r="H825" t="str">
            <v>公共下水道</v>
          </cell>
          <cell r="I825" t="str">
            <v>単独</v>
          </cell>
          <cell r="J825" t="str">
            <v>002</v>
          </cell>
          <cell r="K825" t="str">
            <v>伏木浄化センター</v>
          </cell>
          <cell r="M825" t="str">
            <v>1</v>
          </cell>
          <cell r="N825" t="str">
            <v>1</v>
          </cell>
          <cell r="Q825">
            <v>26390</v>
          </cell>
          <cell r="R825" t="str">
            <v>昭和</v>
          </cell>
          <cell r="S825">
            <v>47</v>
          </cell>
          <cell r="T825">
            <v>4</v>
          </cell>
          <cell r="AB825">
            <v>4200</v>
          </cell>
          <cell r="AC825" t="str">
            <v>富山湾</v>
          </cell>
          <cell r="AD825" t="str">
            <v>Ｂ</v>
          </cell>
          <cell r="AF825">
            <v>15</v>
          </cell>
          <cell r="AI825" t="str">
            <v>富山湾</v>
          </cell>
          <cell r="AQ825" t="str">
            <v/>
          </cell>
          <cell r="AR825" t="str">
            <v>標準活性汚泥法</v>
          </cell>
          <cell r="AS825" t="str">
            <v>1620201002</v>
          </cell>
          <cell r="AT825" t="str">
            <v/>
          </cell>
          <cell r="AU825" t="str">
            <v>10</v>
          </cell>
          <cell r="AV825" t="str">
            <v>10</v>
          </cell>
          <cell r="AW825">
            <v>0</v>
          </cell>
          <cell r="AX825">
            <v>0</v>
          </cell>
          <cell r="AY825">
            <v>0</v>
          </cell>
          <cell r="AZ825">
            <v>0</v>
          </cell>
          <cell r="BA825">
            <v>0</v>
          </cell>
          <cell r="BD825" t="str">
            <v/>
          </cell>
          <cell r="BE825">
            <v>1</v>
          </cell>
          <cell r="BG825" t="str">
            <v>1100</v>
          </cell>
        </row>
        <row r="826">
          <cell r="B826" t="str">
            <v>G162020206100300</v>
          </cell>
          <cell r="C826" t="str">
            <v>16.富山県</v>
          </cell>
          <cell r="D826" t="str">
            <v>202</v>
          </cell>
          <cell r="E826" t="str">
            <v>高岡市</v>
          </cell>
          <cell r="F826" t="str">
            <v>02</v>
          </cell>
          <cell r="G826" t="str">
            <v>特環 単独</v>
          </cell>
          <cell r="H826" t="str">
            <v>特定環境保全公共下水道</v>
          </cell>
          <cell r="I826" t="str">
            <v>単独</v>
          </cell>
          <cell r="J826" t="str">
            <v>003</v>
          </cell>
          <cell r="K826" t="str">
            <v>松太枝浜浄化センター</v>
          </cell>
          <cell r="M826" t="str">
            <v>1</v>
          </cell>
          <cell r="N826" t="str">
            <v>1</v>
          </cell>
          <cell r="Q826">
            <v>34029</v>
          </cell>
          <cell r="R826" t="str">
            <v>平成</v>
          </cell>
          <cell r="S826">
            <v>5</v>
          </cell>
          <cell r="T826">
            <v>3</v>
          </cell>
          <cell r="AB826">
            <v>13800</v>
          </cell>
          <cell r="AC826" t="str">
            <v>富山湾</v>
          </cell>
          <cell r="AD826" t="str">
            <v>Ｂ</v>
          </cell>
          <cell r="AF826">
            <v>15</v>
          </cell>
          <cell r="AI826" t="str">
            <v>太田１号雨水幹線</v>
          </cell>
          <cell r="AQ826" t="str">
            <v/>
          </cell>
          <cell r="AR826" t="str">
            <v>オキシディションディッチ法</v>
          </cell>
          <cell r="AS826" t="str">
            <v>1620202003</v>
          </cell>
          <cell r="AT826" t="str">
            <v/>
          </cell>
          <cell r="AU826" t="str">
            <v>10</v>
          </cell>
          <cell r="AV826" t="str">
            <v>10</v>
          </cell>
          <cell r="AW826">
            <v>0</v>
          </cell>
          <cell r="AX826">
            <v>0</v>
          </cell>
          <cell r="AY826">
            <v>0</v>
          </cell>
          <cell r="AZ826">
            <v>0</v>
          </cell>
          <cell r="BA826">
            <v>0</v>
          </cell>
          <cell r="BD826" t="str">
            <v/>
          </cell>
          <cell r="BE826">
            <v>1</v>
          </cell>
          <cell r="BG826" t="str">
            <v>1100</v>
          </cell>
        </row>
        <row r="827">
          <cell r="B827" t="str">
            <v>G162040106100100</v>
          </cell>
          <cell r="C827" t="str">
            <v>16.富山県</v>
          </cell>
          <cell r="D827" t="str">
            <v>204</v>
          </cell>
          <cell r="E827" t="str">
            <v>魚津市</v>
          </cell>
          <cell r="F827" t="str">
            <v>01</v>
          </cell>
          <cell r="G827" t="str">
            <v>公共 単独</v>
          </cell>
          <cell r="H827" t="str">
            <v>公共下水道</v>
          </cell>
          <cell r="I827" t="str">
            <v>単独</v>
          </cell>
          <cell r="J827" t="str">
            <v>001</v>
          </cell>
          <cell r="K827" t="str">
            <v>魚津市浄化センター</v>
          </cell>
          <cell r="M827" t="str">
            <v>1</v>
          </cell>
          <cell r="N827" t="str">
            <v>1</v>
          </cell>
          <cell r="P827" t="str">
            <v>1</v>
          </cell>
          <cell r="Q827">
            <v>33512</v>
          </cell>
          <cell r="R827" t="str">
            <v>平成</v>
          </cell>
          <cell r="S827">
            <v>3</v>
          </cell>
          <cell r="T827">
            <v>10</v>
          </cell>
          <cell r="AB827">
            <v>38011</v>
          </cell>
          <cell r="AC827" t="str">
            <v>富山湾海域</v>
          </cell>
          <cell r="AD827" t="str">
            <v>Ａ</v>
          </cell>
          <cell r="AE827" t="str">
            <v>イ</v>
          </cell>
          <cell r="AF827">
            <v>15</v>
          </cell>
          <cell r="AI827" t="str">
            <v>富山湾</v>
          </cell>
          <cell r="AQ827" t="str">
            <v/>
          </cell>
          <cell r="AR827" t="str">
            <v>標準活性汚泥法</v>
          </cell>
          <cell r="AS827" t="str">
            <v>1620401001</v>
          </cell>
          <cell r="AT827" t="str">
            <v/>
          </cell>
          <cell r="AU827" t="str">
            <v>10</v>
          </cell>
          <cell r="AV827" t="str">
            <v>10</v>
          </cell>
          <cell r="AW827">
            <v>1</v>
          </cell>
          <cell r="AX827">
            <v>0</v>
          </cell>
          <cell r="AY827">
            <v>0</v>
          </cell>
          <cell r="AZ827">
            <v>0</v>
          </cell>
          <cell r="BA827">
            <v>0</v>
          </cell>
          <cell r="BD827" t="str">
            <v/>
          </cell>
          <cell r="BE827">
            <v>1</v>
          </cell>
          <cell r="BG827" t="str">
            <v>1101</v>
          </cell>
        </row>
        <row r="828">
          <cell r="B828" t="str">
            <v>G162040106100200</v>
          </cell>
          <cell r="C828" t="str">
            <v>16.富山県</v>
          </cell>
          <cell r="D828" t="str">
            <v>204</v>
          </cell>
          <cell r="E828" t="str">
            <v>魚津市</v>
          </cell>
          <cell r="F828" t="str">
            <v>01</v>
          </cell>
          <cell r="G828" t="str">
            <v>公共 単独</v>
          </cell>
          <cell r="H828" t="str">
            <v>公共下水道</v>
          </cell>
          <cell r="I828" t="str">
            <v>単独</v>
          </cell>
          <cell r="J828" t="str">
            <v>002</v>
          </cell>
          <cell r="K828" t="str">
            <v>大杉台処理場</v>
          </cell>
          <cell r="M828" t="str">
            <v>1</v>
          </cell>
          <cell r="N828" t="str">
            <v>1</v>
          </cell>
          <cell r="Q828">
            <v>36281</v>
          </cell>
          <cell r="R828" t="str">
            <v>平成</v>
          </cell>
          <cell r="S828">
            <v>11</v>
          </cell>
          <cell r="T828">
            <v>5</v>
          </cell>
          <cell r="AB828">
            <v>592</v>
          </cell>
          <cell r="AC828" t="str">
            <v>常願寺川水域等</v>
          </cell>
          <cell r="AD828" t="str">
            <v>Ａ</v>
          </cell>
          <cell r="AE828" t="str">
            <v>イ</v>
          </cell>
          <cell r="AF828">
            <v>15</v>
          </cell>
          <cell r="AJ828" t="str">
            <v>角川</v>
          </cell>
          <cell r="AQ828" t="str">
            <v/>
          </cell>
          <cell r="AR828" t="str">
            <v>長時間エアレーション法</v>
          </cell>
          <cell r="AS828" t="str">
            <v>1620401002</v>
          </cell>
          <cell r="AT828" t="str">
            <v/>
          </cell>
          <cell r="AU828" t="str">
            <v>10</v>
          </cell>
          <cell r="AV828" t="str">
            <v>10</v>
          </cell>
          <cell r="AW828">
            <v>0</v>
          </cell>
          <cell r="AX828">
            <v>0</v>
          </cell>
          <cell r="AY828">
            <v>0</v>
          </cell>
          <cell r="AZ828">
            <v>0</v>
          </cell>
          <cell r="BA828">
            <v>0</v>
          </cell>
          <cell r="BD828" t="str">
            <v/>
          </cell>
          <cell r="BE828">
            <v>1</v>
          </cell>
          <cell r="BG828" t="str">
            <v>1100</v>
          </cell>
        </row>
        <row r="829">
          <cell r="B829" t="str">
            <v>G162040206100300</v>
          </cell>
          <cell r="C829" t="str">
            <v>16.富山県</v>
          </cell>
          <cell r="D829" t="str">
            <v>204</v>
          </cell>
          <cell r="E829" t="str">
            <v>魚津市</v>
          </cell>
          <cell r="F829" t="str">
            <v>02</v>
          </cell>
          <cell r="G829" t="str">
            <v>特環 単独</v>
          </cell>
          <cell r="H829" t="str">
            <v>特定環境保全公共下水道</v>
          </cell>
          <cell r="I829" t="str">
            <v>単独</v>
          </cell>
          <cell r="J829" t="str">
            <v>003</v>
          </cell>
          <cell r="K829" t="str">
            <v>川の瀬浄化センター</v>
          </cell>
          <cell r="M829" t="str">
            <v>1</v>
          </cell>
          <cell r="N829" t="str">
            <v>1</v>
          </cell>
          <cell r="Q829">
            <v>32599</v>
          </cell>
          <cell r="R829" t="str">
            <v>平成</v>
          </cell>
          <cell r="S829">
            <v>1</v>
          </cell>
          <cell r="T829">
            <v>4</v>
          </cell>
          <cell r="AB829">
            <v>2260</v>
          </cell>
          <cell r="AC829" t="str">
            <v>早月川水域等</v>
          </cell>
          <cell r="AD829" t="str">
            <v>ＡＡ</v>
          </cell>
          <cell r="AE829" t="str">
            <v>イ</v>
          </cell>
          <cell r="AF829">
            <v>15</v>
          </cell>
          <cell r="AJ829" t="str">
            <v>片貝川</v>
          </cell>
          <cell r="AQ829" t="str">
            <v/>
          </cell>
          <cell r="AR829" t="str">
            <v>オキシディションディッチ法</v>
          </cell>
          <cell r="AS829" t="str">
            <v>1620402003</v>
          </cell>
          <cell r="AT829" t="str">
            <v/>
          </cell>
          <cell r="AU829" t="str">
            <v>10</v>
          </cell>
          <cell r="AV829" t="str">
            <v>10</v>
          </cell>
          <cell r="AW829">
            <v>0</v>
          </cell>
          <cell r="AX829">
            <v>0</v>
          </cell>
          <cell r="AY829">
            <v>0</v>
          </cell>
          <cell r="AZ829">
            <v>0</v>
          </cell>
          <cell r="BA829">
            <v>0</v>
          </cell>
          <cell r="BD829" t="str">
            <v/>
          </cell>
          <cell r="BE829">
            <v>1</v>
          </cell>
          <cell r="BG829" t="str">
            <v>1100</v>
          </cell>
        </row>
        <row r="830">
          <cell r="B830" t="str">
            <v>G162050106100100</v>
          </cell>
          <cell r="C830" t="str">
            <v>16.富山県</v>
          </cell>
          <cell r="D830" t="str">
            <v>205</v>
          </cell>
          <cell r="E830" t="str">
            <v>氷見市</v>
          </cell>
          <cell r="F830" t="str">
            <v>01</v>
          </cell>
          <cell r="G830" t="str">
            <v>公共 単独</v>
          </cell>
          <cell r="H830" t="str">
            <v>公共下水道</v>
          </cell>
          <cell r="I830" t="str">
            <v>単独</v>
          </cell>
          <cell r="J830" t="str">
            <v>001</v>
          </cell>
          <cell r="K830" t="str">
            <v>氷見市環境浄化センター</v>
          </cell>
          <cell r="M830" t="str">
            <v>1</v>
          </cell>
          <cell r="N830" t="str">
            <v>1</v>
          </cell>
          <cell r="Q830">
            <v>30407</v>
          </cell>
          <cell r="R830" t="str">
            <v>昭和</v>
          </cell>
          <cell r="S830">
            <v>58</v>
          </cell>
          <cell r="T830">
            <v>4</v>
          </cell>
          <cell r="AB830">
            <v>47200</v>
          </cell>
          <cell r="AC830" t="str">
            <v>常願寺水域等</v>
          </cell>
          <cell r="AD830" t="str">
            <v>Ｃ</v>
          </cell>
          <cell r="AF830">
            <v>15</v>
          </cell>
          <cell r="AJ830" t="str">
            <v>仏生寺川</v>
          </cell>
          <cell r="AQ830" t="str">
            <v/>
          </cell>
          <cell r="AR830" t="str">
            <v>標準活性汚泥法</v>
          </cell>
          <cell r="AS830" t="str">
            <v>1620501001</v>
          </cell>
          <cell r="AT830" t="str">
            <v/>
          </cell>
          <cell r="AU830" t="str">
            <v>10</v>
          </cell>
          <cell r="AV830" t="str">
            <v>10</v>
          </cell>
          <cell r="AW830">
            <v>0</v>
          </cell>
          <cell r="AX830">
            <v>0</v>
          </cell>
          <cell r="AY830">
            <v>0</v>
          </cell>
          <cell r="AZ830">
            <v>0</v>
          </cell>
          <cell r="BA830">
            <v>0</v>
          </cell>
          <cell r="BD830" t="str">
            <v/>
          </cell>
          <cell r="BE830">
            <v>1</v>
          </cell>
          <cell r="BG830" t="str">
            <v>1100</v>
          </cell>
        </row>
        <row r="831">
          <cell r="B831" t="str">
            <v>G162050206100200</v>
          </cell>
          <cell r="C831" t="str">
            <v>16.富山県</v>
          </cell>
          <cell r="D831" t="str">
            <v>205</v>
          </cell>
          <cell r="E831" t="str">
            <v>氷見市</v>
          </cell>
          <cell r="F831" t="str">
            <v>02</v>
          </cell>
          <cell r="G831" t="str">
            <v>特環 単独</v>
          </cell>
          <cell r="H831" t="str">
            <v>特定環境保全公共下水道</v>
          </cell>
          <cell r="I831" t="str">
            <v>単独</v>
          </cell>
          <cell r="J831" t="str">
            <v>002</v>
          </cell>
          <cell r="K831" t="str">
            <v>小境浄化センター</v>
          </cell>
          <cell r="M831" t="str">
            <v>1</v>
          </cell>
          <cell r="N831" t="str">
            <v>1</v>
          </cell>
          <cell r="Q831">
            <v>33909</v>
          </cell>
          <cell r="R831" t="str">
            <v>平成</v>
          </cell>
          <cell r="S831">
            <v>4</v>
          </cell>
          <cell r="T831">
            <v>11</v>
          </cell>
          <cell r="AB831">
            <v>613</v>
          </cell>
          <cell r="AF831">
            <v>20</v>
          </cell>
          <cell r="AI831" t="str">
            <v>白見川</v>
          </cell>
          <cell r="AQ831" t="str">
            <v/>
          </cell>
          <cell r="AR831" t="str">
            <v>オキシディションディッチ法</v>
          </cell>
          <cell r="AS831" t="str">
            <v>1620502002</v>
          </cell>
          <cell r="AT831" t="str">
            <v/>
          </cell>
          <cell r="AU831" t="str">
            <v>10</v>
          </cell>
          <cell r="AV831" t="str">
            <v>10</v>
          </cell>
          <cell r="AW831">
            <v>0</v>
          </cell>
          <cell r="AX831">
            <v>0</v>
          </cell>
          <cell r="AY831">
            <v>0</v>
          </cell>
          <cell r="AZ831">
            <v>0</v>
          </cell>
          <cell r="BA831">
            <v>0</v>
          </cell>
          <cell r="BD831" t="str">
            <v/>
          </cell>
          <cell r="BE831">
            <v>1</v>
          </cell>
          <cell r="BG831" t="str">
            <v>1100</v>
          </cell>
        </row>
        <row r="832">
          <cell r="B832" t="str">
            <v>G162060106100100</v>
          </cell>
          <cell r="C832" t="str">
            <v>16.富山県</v>
          </cell>
          <cell r="D832" t="str">
            <v>206</v>
          </cell>
          <cell r="E832" t="str">
            <v>滑川市</v>
          </cell>
          <cell r="F832" t="str">
            <v>01</v>
          </cell>
          <cell r="G832" t="str">
            <v>公共 単独</v>
          </cell>
          <cell r="H832" t="str">
            <v>公共下水道</v>
          </cell>
          <cell r="I832" t="str">
            <v>単独</v>
          </cell>
          <cell r="J832" t="str">
            <v>001</v>
          </cell>
          <cell r="K832" t="str">
            <v>滑川市浄化センター</v>
          </cell>
          <cell r="M832" t="str">
            <v>1</v>
          </cell>
          <cell r="N832" t="str">
            <v>1</v>
          </cell>
          <cell r="Q832">
            <v>32933</v>
          </cell>
          <cell r="R832" t="str">
            <v>平成</v>
          </cell>
          <cell r="S832">
            <v>2</v>
          </cell>
          <cell r="T832">
            <v>3</v>
          </cell>
          <cell r="AB832">
            <v>31780</v>
          </cell>
          <cell r="AC832" t="str">
            <v>富山湾</v>
          </cell>
          <cell r="AD832" t="str">
            <v>Ａ</v>
          </cell>
          <cell r="AE832" t="str">
            <v>イ</v>
          </cell>
          <cell r="AF832">
            <v>14</v>
          </cell>
          <cell r="AI832" t="str">
            <v>追分川、西川</v>
          </cell>
          <cell r="AL832" t="str">
            <v>第12水源</v>
          </cell>
          <cell r="AM832">
            <v>3.8</v>
          </cell>
          <cell r="AO832" t="str">
            <v>滑川市</v>
          </cell>
          <cell r="AQ832" t="str">
            <v/>
          </cell>
          <cell r="AR832" t="str">
            <v>オキシディションディッチ法</v>
          </cell>
          <cell r="AS832" t="str">
            <v>1620601001</v>
          </cell>
          <cell r="AT832" t="str">
            <v/>
          </cell>
          <cell r="AU832" t="str">
            <v>10</v>
          </cell>
          <cell r="AV832" t="str">
            <v>10</v>
          </cell>
          <cell r="AW832">
            <v>0</v>
          </cell>
          <cell r="AX832">
            <v>0</v>
          </cell>
          <cell r="AY832">
            <v>0</v>
          </cell>
          <cell r="AZ832">
            <v>0</v>
          </cell>
          <cell r="BA832">
            <v>0</v>
          </cell>
          <cell r="BD832" t="str">
            <v/>
          </cell>
          <cell r="BE832">
            <v>1</v>
          </cell>
          <cell r="BG832" t="str">
            <v>1100</v>
          </cell>
        </row>
        <row r="833">
          <cell r="B833" t="str">
            <v>G162070106100100</v>
          </cell>
          <cell r="C833" t="str">
            <v>16.富山県</v>
          </cell>
          <cell r="D833" t="str">
            <v>207</v>
          </cell>
          <cell r="E833" t="str">
            <v>黒部市</v>
          </cell>
          <cell r="F833" t="str">
            <v>01</v>
          </cell>
          <cell r="G833" t="str">
            <v>公共 単独</v>
          </cell>
          <cell r="H833" t="str">
            <v>公共下水道</v>
          </cell>
          <cell r="I833" t="str">
            <v>単独</v>
          </cell>
          <cell r="J833" t="str">
            <v>001</v>
          </cell>
          <cell r="K833" t="str">
            <v>黒部浄化センター</v>
          </cell>
          <cell r="M833" t="str">
            <v>1</v>
          </cell>
          <cell r="N833" t="str">
            <v>1</v>
          </cell>
          <cell r="O833" t="str">
            <v>1</v>
          </cell>
          <cell r="P833" t="str">
            <v>1</v>
          </cell>
          <cell r="Q833">
            <v>33604</v>
          </cell>
          <cell r="R833" t="str">
            <v>平成</v>
          </cell>
          <cell r="S833">
            <v>4</v>
          </cell>
          <cell r="T833">
            <v>1</v>
          </cell>
          <cell r="AB833">
            <v>46200</v>
          </cell>
          <cell r="AC833" t="str">
            <v>高橋川</v>
          </cell>
          <cell r="AD833" t="str">
            <v>Ｂ</v>
          </cell>
          <cell r="AE833" t="str">
            <v>イ</v>
          </cell>
          <cell r="AF833">
            <v>14</v>
          </cell>
          <cell r="AJ833" t="str">
            <v>高橋川</v>
          </cell>
          <cell r="AP833" t="str">
            <v>特環公共関連を含む</v>
          </cell>
          <cell r="AQ833" t="str">
            <v/>
          </cell>
          <cell r="AR833" t="str">
            <v>標準活性汚泥法</v>
          </cell>
          <cell r="AS833" t="str">
            <v>1620701001</v>
          </cell>
          <cell r="AT833" t="str">
            <v/>
          </cell>
          <cell r="AU833" t="str">
            <v>11</v>
          </cell>
          <cell r="AV833" t="str">
            <v>11</v>
          </cell>
          <cell r="AW833">
            <v>1</v>
          </cell>
          <cell r="AX833">
            <v>0</v>
          </cell>
          <cell r="AY833">
            <v>0</v>
          </cell>
          <cell r="AZ833">
            <v>0</v>
          </cell>
          <cell r="BA833">
            <v>0</v>
          </cell>
          <cell r="BD833" t="str">
            <v/>
          </cell>
          <cell r="BE833">
            <v>1</v>
          </cell>
          <cell r="BG833" t="str">
            <v>1111</v>
          </cell>
        </row>
        <row r="834">
          <cell r="B834" t="str">
            <v>G162070206100200</v>
          </cell>
          <cell r="C834" t="str">
            <v>16.富山県</v>
          </cell>
          <cell r="D834" t="str">
            <v>207</v>
          </cell>
          <cell r="E834" t="str">
            <v>黒部市</v>
          </cell>
          <cell r="F834" t="str">
            <v>02</v>
          </cell>
          <cell r="G834" t="str">
            <v>特環 単独</v>
          </cell>
          <cell r="H834" t="str">
            <v>特定環境保全公共下水道</v>
          </cell>
          <cell r="I834" t="str">
            <v>単独</v>
          </cell>
          <cell r="J834" t="str">
            <v>002</v>
          </cell>
          <cell r="K834" t="str">
            <v>宇奈月浄化センター</v>
          </cell>
          <cell r="M834" t="str">
            <v>1</v>
          </cell>
          <cell r="N834" t="str">
            <v>1</v>
          </cell>
          <cell r="P834" t="str">
            <v>1</v>
          </cell>
          <cell r="Q834">
            <v>31594</v>
          </cell>
          <cell r="R834" t="str">
            <v>昭和</v>
          </cell>
          <cell r="S834">
            <v>61</v>
          </cell>
          <cell r="T834">
            <v>7</v>
          </cell>
          <cell r="AB834">
            <v>15000</v>
          </cell>
          <cell r="AC834" t="str">
            <v>黒部川</v>
          </cell>
          <cell r="AD834" t="str">
            <v>ＡＡ</v>
          </cell>
          <cell r="AE834" t="str">
            <v>イ</v>
          </cell>
          <cell r="AF834">
            <v>15</v>
          </cell>
          <cell r="AK834" t="str">
            <v>黒部川</v>
          </cell>
          <cell r="AL834" t="str">
            <v>宇奈月水源地</v>
          </cell>
          <cell r="AM834">
            <v>1</v>
          </cell>
          <cell r="AO834" t="str">
            <v>黒部市</v>
          </cell>
          <cell r="AQ834" t="str">
            <v/>
          </cell>
          <cell r="AR834" t="str">
            <v>標準活性汚泥法</v>
          </cell>
          <cell r="AS834" t="str">
            <v>1620702002</v>
          </cell>
          <cell r="AT834" t="str">
            <v/>
          </cell>
          <cell r="AU834" t="str">
            <v>10</v>
          </cell>
          <cell r="AV834" t="str">
            <v>10</v>
          </cell>
          <cell r="AW834">
            <v>1</v>
          </cell>
          <cell r="AX834">
            <v>0</v>
          </cell>
          <cell r="AY834">
            <v>0</v>
          </cell>
          <cell r="AZ834">
            <v>0</v>
          </cell>
          <cell r="BA834">
            <v>0</v>
          </cell>
          <cell r="BD834" t="str">
            <v/>
          </cell>
          <cell r="BE834">
            <v>1</v>
          </cell>
          <cell r="BG834" t="str">
            <v>1101</v>
          </cell>
        </row>
        <row r="835">
          <cell r="B835" t="str">
            <v>G162070206100300</v>
          </cell>
          <cell r="C835" t="str">
            <v>16.富山県</v>
          </cell>
          <cell r="D835" t="str">
            <v>207</v>
          </cell>
          <cell r="E835" t="str">
            <v>黒部市</v>
          </cell>
          <cell r="F835" t="str">
            <v>02</v>
          </cell>
          <cell r="G835" t="str">
            <v>特環 単独</v>
          </cell>
          <cell r="H835" t="str">
            <v>特定環境保全公共下水道</v>
          </cell>
          <cell r="I835" t="str">
            <v>単独</v>
          </cell>
          <cell r="J835" t="str">
            <v>003</v>
          </cell>
          <cell r="K835" t="str">
            <v>内山浄化センター</v>
          </cell>
          <cell r="M835" t="str">
            <v>1</v>
          </cell>
          <cell r="N835" t="str">
            <v>1</v>
          </cell>
          <cell r="Q835">
            <v>36982</v>
          </cell>
          <cell r="R835" t="str">
            <v>平成</v>
          </cell>
          <cell r="S835">
            <v>13</v>
          </cell>
          <cell r="T835">
            <v>4</v>
          </cell>
          <cell r="AB835">
            <v>3500</v>
          </cell>
          <cell r="AC835" t="str">
            <v>黒部川</v>
          </cell>
          <cell r="AD835" t="str">
            <v>ＡＡ</v>
          </cell>
          <cell r="AE835" t="str">
            <v>イ</v>
          </cell>
          <cell r="AF835">
            <v>15</v>
          </cell>
          <cell r="AK835" t="str">
            <v>黒部川</v>
          </cell>
          <cell r="AL835" t="str">
            <v>音沢水源地</v>
          </cell>
          <cell r="AM835">
            <v>2</v>
          </cell>
          <cell r="AQ835" t="str">
            <v/>
          </cell>
          <cell r="AR835" t="str">
            <v>オキシディションディッチ法</v>
          </cell>
          <cell r="AS835" t="str">
            <v>1620702003</v>
          </cell>
          <cell r="AT835" t="str">
            <v/>
          </cell>
          <cell r="AU835" t="str">
            <v>10</v>
          </cell>
          <cell r="AV835" t="str">
            <v>10</v>
          </cell>
          <cell r="AW835">
            <v>0</v>
          </cell>
          <cell r="AX835">
            <v>0</v>
          </cell>
          <cell r="AY835">
            <v>0</v>
          </cell>
          <cell r="AZ835">
            <v>0</v>
          </cell>
          <cell r="BA835">
            <v>0</v>
          </cell>
          <cell r="BD835" t="str">
            <v/>
          </cell>
          <cell r="BE835">
            <v>1</v>
          </cell>
          <cell r="BG835" t="str">
            <v>1100</v>
          </cell>
        </row>
        <row r="836">
          <cell r="B836" t="str">
            <v>G162100206100100</v>
          </cell>
          <cell r="C836" t="str">
            <v>16.富山県</v>
          </cell>
          <cell r="D836" t="str">
            <v>210</v>
          </cell>
          <cell r="E836" t="str">
            <v>南砺市</v>
          </cell>
          <cell r="F836" t="str">
            <v>02</v>
          </cell>
          <cell r="G836" t="str">
            <v>特環 単独</v>
          </cell>
          <cell r="H836" t="str">
            <v>特定環境保全公共下水道</v>
          </cell>
          <cell r="I836" t="str">
            <v>単独</v>
          </cell>
          <cell r="J836" t="str">
            <v>001</v>
          </cell>
          <cell r="K836" t="str">
            <v>西赤尾浄化センター</v>
          </cell>
          <cell r="M836" t="str">
            <v>1</v>
          </cell>
          <cell r="N836" t="str">
            <v>1</v>
          </cell>
          <cell r="Q836">
            <v>34790</v>
          </cell>
          <cell r="R836" t="str">
            <v>平成</v>
          </cell>
          <cell r="S836">
            <v>7</v>
          </cell>
          <cell r="T836">
            <v>4</v>
          </cell>
          <cell r="AB836">
            <v>868</v>
          </cell>
          <cell r="AC836" t="str">
            <v>庄川上流</v>
          </cell>
          <cell r="AD836" t="str">
            <v>ＡＡ</v>
          </cell>
          <cell r="AE836" t="str">
            <v>イ</v>
          </cell>
          <cell r="AF836">
            <v>20</v>
          </cell>
          <cell r="AK836" t="str">
            <v>庄川</v>
          </cell>
          <cell r="AL836" t="str">
            <v>合口ダム用水</v>
          </cell>
          <cell r="AN836">
            <v>34.5</v>
          </cell>
          <cell r="AO836" t="str">
            <v>砺波市　南砺市</v>
          </cell>
          <cell r="AQ836" t="str">
            <v/>
          </cell>
          <cell r="AR836" t="str">
            <v>オキシディションディッチ法</v>
          </cell>
          <cell r="AS836" t="str">
            <v>1621002001</v>
          </cell>
          <cell r="AT836" t="str">
            <v/>
          </cell>
          <cell r="AU836" t="str">
            <v>10</v>
          </cell>
          <cell r="AV836" t="str">
            <v>10</v>
          </cell>
          <cell r="AW836">
            <v>0</v>
          </cell>
          <cell r="AX836">
            <v>0</v>
          </cell>
          <cell r="AY836">
            <v>0</v>
          </cell>
          <cell r="AZ836">
            <v>0</v>
          </cell>
          <cell r="BA836">
            <v>0</v>
          </cell>
          <cell r="BD836" t="str">
            <v/>
          </cell>
          <cell r="BE836">
            <v>1</v>
          </cell>
          <cell r="BG836" t="str">
            <v>1100</v>
          </cell>
        </row>
        <row r="837">
          <cell r="B837" t="str">
            <v>G162100206100200</v>
          </cell>
          <cell r="C837" t="str">
            <v>16.富山県</v>
          </cell>
          <cell r="D837" t="str">
            <v>210</v>
          </cell>
          <cell r="E837" t="str">
            <v>南砺市</v>
          </cell>
          <cell r="F837" t="str">
            <v>02</v>
          </cell>
          <cell r="G837" t="str">
            <v>特環 単独</v>
          </cell>
          <cell r="H837" t="str">
            <v>特定環境保全公共下水道</v>
          </cell>
          <cell r="I837" t="str">
            <v>単独</v>
          </cell>
          <cell r="J837" t="str">
            <v>002</v>
          </cell>
          <cell r="K837" t="str">
            <v>粲明浄化センター</v>
          </cell>
          <cell r="M837" t="str">
            <v>1</v>
          </cell>
          <cell r="N837" t="str">
            <v>1</v>
          </cell>
          <cell r="O837" t="str">
            <v>1</v>
          </cell>
          <cell r="Q837">
            <v>35612</v>
          </cell>
          <cell r="R837" t="str">
            <v>平成</v>
          </cell>
          <cell r="S837">
            <v>9</v>
          </cell>
          <cell r="T837">
            <v>7</v>
          </cell>
          <cell r="AB837">
            <v>1300</v>
          </cell>
          <cell r="AC837" t="str">
            <v>庄川上流</v>
          </cell>
          <cell r="AD837" t="str">
            <v>ＡＡ</v>
          </cell>
          <cell r="AE837" t="str">
            <v>イ</v>
          </cell>
          <cell r="AF837">
            <v>20</v>
          </cell>
          <cell r="AK837" t="str">
            <v>庄川</v>
          </cell>
          <cell r="AL837" t="str">
            <v>合口ダム用水</v>
          </cell>
          <cell r="AN837">
            <v>20</v>
          </cell>
          <cell r="AO837" t="str">
            <v>砺波市　南砺市</v>
          </cell>
          <cell r="AQ837" t="str">
            <v/>
          </cell>
          <cell r="AR837" t="str">
            <v>オキシディションディッチ法</v>
          </cell>
          <cell r="AS837" t="str">
            <v>1621002002</v>
          </cell>
          <cell r="AT837" t="str">
            <v/>
          </cell>
          <cell r="AU837" t="str">
            <v>11</v>
          </cell>
          <cell r="AV837" t="str">
            <v>11</v>
          </cell>
          <cell r="AW837">
            <v>0</v>
          </cell>
          <cell r="AX837">
            <v>0</v>
          </cell>
          <cell r="AY837">
            <v>0</v>
          </cell>
          <cell r="AZ837">
            <v>0</v>
          </cell>
          <cell r="BA837">
            <v>0</v>
          </cell>
          <cell r="BD837" t="str">
            <v/>
          </cell>
          <cell r="BE837">
            <v>1</v>
          </cell>
          <cell r="BG837" t="str">
            <v>1110</v>
          </cell>
        </row>
        <row r="838">
          <cell r="B838" t="str">
            <v>G162100206100300</v>
          </cell>
          <cell r="C838" t="str">
            <v>16.富山県</v>
          </cell>
          <cell r="D838" t="str">
            <v>210</v>
          </cell>
          <cell r="E838" t="str">
            <v>南砺市</v>
          </cell>
          <cell r="F838" t="str">
            <v>02</v>
          </cell>
          <cell r="G838" t="str">
            <v>特環 単独</v>
          </cell>
          <cell r="H838" t="str">
            <v>特定環境保全公共下水道</v>
          </cell>
          <cell r="I838" t="str">
            <v>単独</v>
          </cell>
          <cell r="J838" t="str">
            <v>003</v>
          </cell>
          <cell r="K838" t="str">
            <v>上梨浄化センター</v>
          </cell>
          <cell r="M838" t="str">
            <v>1</v>
          </cell>
          <cell r="N838" t="str">
            <v>1</v>
          </cell>
          <cell r="Q838">
            <v>36861</v>
          </cell>
          <cell r="R838" t="str">
            <v>平成</v>
          </cell>
          <cell r="S838">
            <v>12</v>
          </cell>
          <cell r="T838">
            <v>12</v>
          </cell>
          <cell r="AB838">
            <v>1808</v>
          </cell>
          <cell r="AC838" t="str">
            <v>庄川上流</v>
          </cell>
          <cell r="AD838" t="str">
            <v>ＡＡ</v>
          </cell>
          <cell r="AE838" t="str">
            <v>イ</v>
          </cell>
          <cell r="AF838">
            <v>20</v>
          </cell>
          <cell r="AK838" t="str">
            <v>庄川上流</v>
          </cell>
          <cell r="AL838" t="str">
            <v>合口ダム用水</v>
          </cell>
          <cell r="AN838">
            <v>24.5</v>
          </cell>
          <cell r="AO838" t="str">
            <v>砺波市　南砺市</v>
          </cell>
          <cell r="AQ838" t="str">
            <v/>
          </cell>
          <cell r="AR838" t="str">
            <v>オキシディションディッチ法</v>
          </cell>
          <cell r="AS838" t="str">
            <v>1621002003</v>
          </cell>
          <cell r="AT838" t="str">
            <v/>
          </cell>
          <cell r="AU838" t="str">
            <v>10</v>
          </cell>
          <cell r="AV838" t="str">
            <v>10</v>
          </cell>
          <cell r="AW838">
            <v>0</v>
          </cell>
          <cell r="AX838">
            <v>0</v>
          </cell>
          <cell r="AY838">
            <v>0</v>
          </cell>
          <cell r="AZ838">
            <v>0</v>
          </cell>
          <cell r="BA838">
            <v>0</v>
          </cell>
          <cell r="BD838" t="str">
            <v/>
          </cell>
          <cell r="BE838">
            <v>1</v>
          </cell>
          <cell r="BG838" t="str">
            <v>1100</v>
          </cell>
        </row>
        <row r="839">
          <cell r="B839" t="str">
            <v>G162110106100100</v>
          </cell>
          <cell r="C839" t="str">
            <v>16.富山県</v>
          </cell>
          <cell r="D839" t="str">
            <v>211</v>
          </cell>
          <cell r="E839" t="str">
            <v>射水市</v>
          </cell>
          <cell r="F839" t="str">
            <v>01</v>
          </cell>
          <cell r="G839" t="str">
            <v>公共 単独</v>
          </cell>
          <cell r="H839" t="str">
            <v>公共下水道</v>
          </cell>
          <cell r="I839" t="str">
            <v>単独</v>
          </cell>
          <cell r="J839" t="str">
            <v>001</v>
          </cell>
          <cell r="K839" t="str">
            <v>太閤山浄化センター</v>
          </cell>
          <cell r="M839" t="str">
            <v>1</v>
          </cell>
          <cell r="N839" t="str">
            <v>1</v>
          </cell>
          <cell r="Q839">
            <v>25842</v>
          </cell>
          <cell r="R839" t="str">
            <v>昭和</v>
          </cell>
          <cell r="S839">
            <v>45</v>
          </cell>
          <cell r="T839">
            <v>10</v>
          </cell>
          <cell r="AB839">
            <v>6290</v>
          </cell>
          <cell r="AC839" t="str">
            <v>下条川</v>
          </cell>
          <cell r="AD839" t="str">
            <v>Ｂ</v>
          </cell>
          <cell r="AE839" t="str">
            <v>ロ</v>
          </cell>
          <cell r="AJ839" t="str">
            <v>下条川</v>
          </cell>
          <cell r="AQ839" t="str">
            <v/>
          </cell>
          <cell r="AR839" t="str">
            <v>標準活性汚泥法</v>
          </cell>
          <cell r="AS839" t="str">
            <v>1621101001</v>
          </cell>
          <cell r="AT839" t="str">
            <v/>
          </cell>
          <cell r="AU839" t="str">
            <v>10</v>
          </cell>
          <cell r="AV839" t="str">
            <v>10</v>
          </cell>
          <cell r="AW839">
            <v>0</v>
          </cell>
          <cell r="AX839">
            <v>0</v>
          </cell>
          <cell r="AY839">
            <v>0</v>
          </cell>
          <cell r="AZ839">
            <v>0</v>
          </cell>
          <cell r="BA839">
            <v>0</v>
          </cell>
          <cell r="BD839" t="str">
            <v/>
          </cell>
          <cell r="BE839">
            <v>1</v>
          </cell>
          <cell r="BG839" t="str">
            <v>1100</v>
          </cell>
        </row>
        <row r="840">
          <cell r="B840" t="str">
            <v>G162110106100200</v>
          </cell>
          <cell r="C840" t="str">
            <v>16.富山県</v>
          </cell>
          <cell r="D840" t="str">
            <v>211</v>
          </cell>
          <cell r="E840" t="str">
            <v>射水市</v>
          </cell>
          <cell r="F840" t="str">
            <v>01</v>
          </cell>
          <cell r="G840" t="str">
            <v>公共 単独</v>
          </cell>
          <cell r="H840" t="str">
            <v>公共下水道</v>
          </cell>
          <cell r="I840" t="str">
            <v>単独</v>
          </cell>
          <cell r="J840" t="str">
            <v>002</v>
          </cell>
          <cell r="K840" t="str">
            <v>桜町下水処理場</v>
          </cell>
          <cell r="Q840">
            <v>27334</v>
          </cell>
          <cell r="R840" t="str">
            <v>昭和</v>
          </cell>
          <cell r="S840">
            <v>49</v>
          </cell>
          <cell r="T840">
            <v>11</v>
          </cell>
          <cell r="U840" t="str">
            <v>休止</v>
          </cell>
          <cell r="V840">
            <v>38808</v>
          </cell>
          <cell r="W840" t="str">
            <v>平成</v>
          </cell>
          <cell r="X840">
            <v>18</v>
          </cell>
          <cell r="Y840">
            <v>4</v>
          </cell>
          <cell r="AA840" t="str">
            <v>流域下水道へ接続換えのため</v>
          </cell>
          <cell r="AB840">
            <v>9643</v>
          </cell>
          <cell r="AC840" t="str">
            <v>該当しない</v>
          </cell>
          <cell r="AI840" t="str">
            <v>該当しない</v>
          </cell>
          <cell r="AQ840" t="str">
            <v>休止</v>
          </cell>
          <cell r="AR840" t="str">
            <v/>
          </cell>
          <cell r="AS840" t="str">
            <v>1621101002</v>
          </cell>
          <cell r="AT840">
            <v>1</v>
          </cell>
          <cell r="AU840" t="str">
            <v>00</v>
          </cell>
          <cell r="AV840" t="str">
            <v>00</v>
          </cell>
          <cell r="AW840">
            <v>0</v>
          </cell>
          <cell r="AX840">
            <v>0</v>
          </cell>
          <cell r="AY840">
            <v>0</v>
          </cell>
          <cell r="AZ840">
            <v>0</v>
          </cell>
          <cell r="BA840">
            <v>0</v>
          </cell>
          <cell r="BD840" t="str">
            <v/>
          </cell>
          <cell r="BE840">
            <v>1</v>
          </cell>
          <cell r="BG840">
            <v>5555</v>
          </cell>
        </row>
        <row r="841">
          <cell r="B841" t="str">
            <v>G162110206100300</v>
          </cell>
          <cell r="C841" t="str">
            <v>16.富山県</v>
          </cell>
          <cell r="D841" t="str">
            <v>211</v>
          </cell>
          <cell r="E841" t="str">
            <v>射水市</v>
          </cell>
          <cell r="F841" t="str">
            <v>02</v>
          </cell>
          <cell r="G841" t="str">
            <v>特環 単独</v>
          </cell>
          <cell r="H841" t="str">
            <v>特定環境保全公共下水道</v>
          </cell>
          <cell r="I841" t="str">
            <v>単独</v>
          </cell>
          <cell r="J841" t="str">
            <v>003</v>
          </cell>
          <cell r="K841" t="str">
            <v>南郷管理センター</v>
          </cell>
          <cell r="M841" t="str">
            <v>1</v>
          </cell>
          <cell r="N841" t="str">
            <v>1</v>
          </cell>
          <cell r="Q841">
            <v>34425</v>
          </cell>
          <cell r="R841" t="str">
            <v>平成</v>
          </cell>
          <cell r="S841">
            <v>6</v>
          </cell>
          <cell r="T841">
            <v>4</v>
          </cell>
          <cell r="AB841">
            <v>4421</v>
          </cell>
          <cell r="AC841" t="str">
            <v>和田川</v>
          </cell>
          <cell r="AD841" t="str">
            <v>Ａ</v>
          </cell>
          <cell r="AE841" t="str">
            <v>イ</v>
          </cell>
          <cell r="AF841">
            <v>15</v>
          </cell>
          <cell r="AG841">
            <v>20</v>
          </cell>
          <cell r="AK841" t="str">
            <v>和田川</v>
          </cell>
          <cell r="AQ841" t="str">
            <v/>
          </cell>
          <cell r="AR841" t="str">
            <v>オキシディションディッチ法</v>
          </cell>
          <cell r="AS841" t="str">
            <v>1621102003</v>
          </cell>
          <cell r="AT841" t="str">
            <v/>
          </cell>
          <cell r="AU841" t="str">
            <v>10</v>
          </cell>
          <cell r="AV841" t="str">
            <v>10</v>
          </cell>
          <cell r="AW841">
            <v>0</v>
          </cell>
          <cell r="AX841">
            <v>0</v>
          </cell>
          <cell r="AY841">
            <v>0</v>
          </cell>
          <cell r="AZ841">
            <v>0</v>
          </cell>
          <cell r="BA841">
            <v>0</v>
          </cell>
          <cell r="BD841" t="str">
            <v/>
          </cell>
          <cell r="BE841">
            <v>1</v>
          </cell>
          <cell r="BG841" t="str">
            <v>1100</v>
          </cell>
        </row>
        <row r="842">
          <cell r="B842" t="str">
            <v>G163220206100100</v>
          </cell>
          <cell r="C842" t="str">
            <v>16.富山県</v>
          </cell>
          <cell r="D842" t="str">
            <v>322</v>
          </cell>
          <cell r="E842" t="str">
            <v>上市町</v>
          </cell>
          <cell r="F842" t="str">
            <v>02</v>
          </cell>
          <cell r="G842" t="str">
            <v>特環 単独</v>
          </cell>
          <cell r="H842" t="str">
            <v>特定環境保全公共下水道</v>
          </cell>
          <cell r="I842" t="str">
            <v>単独</v>
          </cell>
          <cell r="J842" t="str">
            <v>001</v>
          </cell>
          <cell r="K842" t="str">
            <v>石仏浄化センター</v>
          </cell>
          <cell r="M842" t="str">
            <v>1</v>
          </cell>
          <cell r="N842" t="str">
            <v>1</v>
          </cell>
          <cell r="Q842">
            <v>33939</v>
          </cell>
          <cell r="R842" t="str">
            <v>平成</v>
          </cell>
          <cell r="S842">
            <v>4</v>
          </cell>
          <cell r="T842">
            <v>12</v>
          </cell>
          <cell r="AB842">
            <v>2400</v>
          </cell>
          <cell r="AC842" t="str">
            <v>上市川水域</v>
          </cell>
          <cell r="AD842" t="str">
            <v>Ａ</v>
          </cell>
          <cell r="AE842" t="str">
            <v>イ</v>
          </cell>
          <cell r="AF842">
            <v>20</v>
          </cell>
          <cell r="AJ842" t="str">
            <v>上市川</v>
          </cell>
          <cell r="AQ842" t="str">
            <v/>
          </cell>
          <cell r="AR842" t="str">
            <v>オキシディションディッチ法</v>
          </cell>
          <cell r="AS842" t="str">
            <v>1632202001</v>
          </cell>
          <cell r="AT842" t="str">
            <v/>
          </cell>
          <cell r="AU842" t="str">
            <v>10</v>
          </cell>
          <cell r="AV842" t="str">
            <v>10</v>
          </cell>
          <cell r="AW842">
            <v>0</v>
          </cell>
          <cell r="AX842">
            <v>0</v>
          </cell>
          <cell r="AY842">
            <v>0</v>
          </cell>
          <cell r="AZ842">
            <v>0</v>
          </cell>
          <cell r="BA842">
            <v>0</v>
          </cell>
          <cell r="BD842" t="str">
            <v/>
          </cell>
          <cell r="BE842">
            <v>1</v>
          </cell>
          <cell r="BG842" t="str">
            <v>1100</v>
          </cell>
        </row>
        <row r="843">
          <cell r="B843" t="str">
            <v>G163220206100200</v>
          </cell>
          <cell r="C843" t="str">
            <v>16.富山県</v>
          </cell>
          <cell r="D843" t="str">
            <v>322</v>
          </cell>
          <cell r="E843" t="str">
            <v>上市町</v>
          </cell>
          <cell r="F843" t="str">
            <v>02</v>
          </cell>
          <cell r="G843" t="str">
            <v>特環 単独</v>
          </cell>
          <cell r="H843" t="str">
            <v>特定環境保全公共下水道</v>
          </cell>
          <cell r="I843" t="str">
            <v>単独</v>
          </cell>
          <cell r="J843" t="str">
            <v>002</v>
          </cell>
          <cell r="K843" t="str">
            <v>神田浄化センター</v>
          </cell>
          <cell r="M843" t="str">
            <v>1</v>
          </cell>
          <cell r="N843" t="str">
            <v>1</v>
          </cell>
          <cell r="Q843">
            <v>36586</v>
          </cell>
          <cell r="R843" t="str">
            <v>平成</v>
          </cell>
          <cell r="S843">
            <v>12</v>
          </cell>
          <cell r="T843">
            <v>3</v>
          </cell>
          <cell r="U843" t="str">
            <v>休止</v>
          </cell>
          <cell r="V843">
            <v>40299</v>
          </cell>
          <cell r="W843" t="str">
            <v>平成</v>
          </cell>
          <cell r="X843">
            <v>22</v>
          </cell>
          <cell r="Y843">
            <v>5</v>
          </cell>
          <cell r="AB843">
            <v>4733</v>
          </cell>
          <cell r="AC843" t="str">
            <v>白岩川水域</v>
          </cell>
          <cell r="AD843" t="str">
            <v>Ａ</v>
          </cell>
          <cell r="AE843" t="str">
            <v>イ</v>
          </cell>
          <cell r="AF843">
            <v>20</v>
          </cell>
          <cell r="AJ843" t="str">
            <v>白岩川</v>
          </cell>
          <cell r="AQ843" t="str">
            <v>休止</v>
          </cell>
          <cell r="AR843" t="str">
            <v/>
          </cell>
          <cell r="AS843" t="str">
            <v>1632202002</v>
          </cell>
          <cell r="AT843" t="str">
            <v/>
          </cell>
          <cell r="AU843" t="str">
            <v>10</v>
          </cell>
          <cell r="AV843" t="str">
            <v>00</v>
          </cell>
          <cell r="AW843">
            <v>0</v>
          </cell>
          <cell r="AX843">
            <v>-1</v>
          </cell>
          <cell r="AY843">
            <v>0</v>
          </cell>
          <cell r="AZ843">
            <v>0</v>
          </cell>
          <cell r="BA843">
            <v>1</v>
          </cell>
          <cell r="BB843" t="str">
            <v>場休止</v>
          </cell>
          <cell r="BD843" t="str">
            <v>場休止</v>
          </cell>
          <cell r="BE843">
            <v>1</v>
          </cell>
          <cell r="BG843">
            <v>5555</v>
          </cell>
        </row>
        <row r="844">
          <cell r="B844" t="str">
            <v>G163420106100100</v>
          </cell>
          <cell r="C844" t="str">
            <v>16.富山県</v>
          </cell>
          <cell r="D844" t="str">
            <v>342</v>
          </cell>
          <cell r="E844" t="str">
            <v>入善町</v>
          </cell>
          <cell r="F844" t="str">
            <v>01</v>
          </cell>
          <cell r="G844" t="str">
            <v>公共 単独</v>
          </cell>
          <cell r="H844" t="str">
            <v>公共下水道</v>
          </cell>
          <cell r="I844" t="str">
            <v>単独</v>
          </cell>
          <cell r="J844" t="str">
            <v>001</v>
          </cell>
          <cell r="K844" t="str">
            <v>入善浄化センター</v>
          </cell>
          <cell r="M844" t="str">
            <v>1</v>
          </cell>
          <cell r="N844" t="str">
            <v>1</v>
          </cell>
          <cell r="Q844">
            <v>37135</v>
          </cell>
          <cell r="R844" t="str">
            <v>平成</v>
          </cell>
          <cell r="S844">
            <v>13</v>
          </cell>
          <cell r="T844">
            <v>9</v>
          </cell>
          <cell r="AB844">
            <v>53600</v>
          </cell>
          <cell r="AC844" t="str">
            <v>富山湾</v>
          </cell>
          <cell r="AD844" t="str">
            <v>Ａ</v>
          </cell>
          <cell r="AE844" t="str">
            <v>イ</v>
          </cell>
          <cell r="AF844">
            <v>14</v>
          </cell>
          <cell r="AI844" t="str">
            <v>青島排水路</v>
          </cell>
          <cell r="AQ844" t="str">
            <v/>
          </cell>
          <cell r="AR844" t="str">
            <v>オキシディションディッチ法</v>
          </cell>
          <cell r="AS844" t="str">
            <v>1634201001</v>
          </cell>
          <cell r="AT844" t="str">
            <v/>
          </cell>
          <cell r="AU844" t="str">
            <v>10</v>
          </cell>
          <cell r="AV844" t="str">
            <v>10</v>
          </cell>
          <cell r="AW844">
            <v>0</v>
          </cell>
          <cell r="AX844">
            <v>0</v>
          </cell>
          <cell r="AY844">
            <v>0</v>
          </cell>
          <cell r="AZ844">
            <v>0</v>
          </cell>
          <cell r="BA844">
            <v>0</v>
          </cell>
          <cell r="BD844" t="str">
            <v/>
          </cell>
          <cell r="BE844">
            <v>1</v>
          </cell>
          <cell r="BG844" t="str">
            <v>1100</v>
          </cell>
        </row>
        <row r="845">
          <cell r="B845" t="str">
            <v>G163430106100100</v>
          </cell>
          <cell r="C845" t="str">
            <v>16.富山県</v>
          </cell>
          <cell r="D845" t="str">
            <v>343</v>
          </cell>
          <cell r="E845" t="str">
            <v>朝日町</v>
          </cell>
          <cell r="F845" t="str">
            <v>01</v>
          </cell>
          <cell r="G845" t="str">
            <v>公共 単独</v>
          </cell>
          <cell r="H845" t="str">
            <v>公共下水道</v>
          </cell>
          <cell r="I845" t="str">
            <v>単独</v>
          </cell>
          <cell r="J845" t="str">
            <v>001</v>
          </cell>
          <cell r="K845" t="str">
            <v>朝日浄化センター</v>
          </cell>
          <cell r="M845" t="str">
            <v>1</v>
          </cell>
          <cell r="N845" t="str">
            <v>1</v>
          </cell>
          <cell r="Q845">
            <v>37344</v>
          </cell>
          <cell r="R845" t="str">
            <v>平成</v>
          </cell>
          <cell r="S845">
            <v>14</v>
          </cell>
          <cell r="T845">
            <v>3</v>
          </cell>
          <cell r="AB845">
            <v>39200</v>
          </cell>
          <cell r="AF845">
            <v>14</v>
          </cell>
          <cell r="AI845" t="str">
            <v>清水川</v>
          </cell>
          <cell r="AQ845" t="str">
            <v/>
          </cell>
          <cell r="AR845" t="str">
            <v>オキシディションディッチ法</v>
          </cell>
          <cell r="AS845" t="str">
            <v>1634301001</v>
          </cell>
          <cell r="AT845" t="str">
            <v/>
          </cell>
          <cell r="AU845" t="str">
            <v>10</v>
          </cell>
          <cell r="AV845" t="str">
            <v>10</v>
          </cell>
          <cell r="AW845">
            <v>0</v>
          </cell>
          <cell r="AX845">
            <v>0</v>
          </cell>
          <cell r="AY845">
            <v>0</v>
          </cell>
          <cell r="AZ845">
            <v>0</v>
          </cell>
          <cell r="BA845">
            <v>0</v>
          </cell>
          <cell r="BD845" t="str">
            <v/>
          </cell>
          <cell r="BE845">
            <v>1</v>
          </cell>
          <cell r="BG845" t="str">
            <v>1100</v>
          </cell>
        </row>
        <row r="846">
          <cell r="B846" t="str">
            <v>G168010106100100</v>
          </cell>
          <cell r="C846" t="str">
            <v>16.富山県</v>
          </cell>
          <cell r="D846" t="str">
            <v>801</v>
          </cell>
          <cell r="E846" t="str">
            <v>中新川広域行政事務組合</v>
          </cell>
          <cell r="F846" t="str">
            <v>01</v>
          </cell>
          <cell r="G846" t="str">
            <v>公共 単独</v>
          </cell>
          <cell r="H846" t="str">
            <v>公共下水道</v>
          </cell>
          <cell r="I846" t="str">
            <v>単独</v>
          </cell>
          <cell r="J846" t="str">
            <v>001</v>
          </cell>
          <cell r="K846" t="str">
            <v>中新川浄化センター</v>
          </cell>
          <cell r="M846" t="str">
            <v>1</v>
          </cell>
          <cell r="N846" t="str">
            <v>1</v>
          </cell>
          <cell r="Q846">
            <v>34759</v>
          </cell>
          <cell r="R846" t="str">
            <v>平成</v>
          </cell>
          <cell r="S846">
            <v>7</v>
          </cell>
          <cell r="T846">
            <v>3</v>
          </cell>
          <cell r="AB846">
            <v>74700</v>
          </cell>
          <cell r="AC846" t="str">
            <v>白岩川</v>
          </cell>
          <cell r="AD846" t="str">
            <v>Ｂ</v>
          </cell>
          <cell r="AE846" t="str">
            <v>ロ</v>
          </cell>
          <cell r="AF846">
            <v>15</v>
          </cell>
          <cell r="AI846" t="str">
            <v>八幡川</v>
          </cell>
          <cell r="AJ846" t="str">
            <v>白岩川</v>
          </cell>
          <cell r="AQ846" t="str">
            <v/>
          </cell>
          <cell r="AR846" t="str">
            <v>オキシディションディッチ法</v>
          </cell>
          <cell r="AS846" t="str">
            <v>1680101001</v>
          </cell>
          <cell r="AT846" t="str">
            <v/>
          </cell>
          <cell r="AU846" t="str">
            <v>10</v>
          </cell>
          <cell r="AV846" t="str">
            <v>10</v>
          </cell>
          <cell r="AW846">
            <v>0</v>
          </cell>
          <cell r="AX846">
            <v>0</v>
          </cell>
          <cell r="AY846">
            <v>0</v>
          </cell>
          <cell r="AZ846">
            <v>0</v>
          </cell>
          <cell r="BA846">
            <v>0</v>
          </cell>
          <cell r="BD846" t="str">
            <v/>
          </cell>
          <cell r="BE846">
            <v>1</v>
          </cell>
          <cell r="BG846" t="str">
            <v>1100</v>
          </cell>
        </row>
        <row r="847">
          <cell r="B847" t="str">
            <v>G170018106100100</v>
          </cell>
          <cell r="C847" t="str">
            <v>17.石川県</v>
          </cell>
          <cell r="D847" t="str">
            <v>001</v>
          </cell>
          <cell r="E847" t="str">
            <v>犀川左岸流域</v>
          </cell>
          <cell r="F847" t="str">
            <v>81</v>
          </cell>
          <cell r="G847" t="str">
            <v>流域</v>
          </cell>
          <cell r="H847" t="str">
            <v>流域下水道</v>
          </cell>
          <cell r="I847" t="str">
            <v/>
          </cell>
          <cell r="J847" t="str">
            <v>001</v>
          </cell>
          <cell r="K847" t="str">
            <v>犀川左岸浄化センター</v>
          </cell>
          <cell r="M847" t="str">
            <v>1</v>
          </cell>
          <cell r="N847" t="str">
            <v>1</v>
          </cell>
          <cell r="O847" t="str">
            <v>1</v>
          </cell>
          <cell r="P847" t="str">
            <v>1</v>
          </cell>
          <cell r="Q847">
            <v>34669</v>
          </cell>
          <cell r="R847" t="str">
            <v>平成</v>
          </cell>
          <cell r="S847">
            <v>6</v>
          </cell>
          <cell r="T847">
            <v>12</v>
          </cell>
          <cell r="AB847">
            <v>84000</v>
          </cell>
          <cell r="AC847" t="str">
            <v>犀川下流河川</v>
          </cell>
          <cell r="AD847" t="str">
            <v>Ｄ</v>
          </cell>
          <cell r="AE847" t="str">
            <v>ハ</v>
          </cell>
          <cell r="AF847">
            <v>15</v>
          </cell>
          <cell r="AJ847" t="str">
            <v>安原川</v>
          </cell>
          <cell r="AQ847" t="str">
            <v/>
          </cell>
          <cell r="AR847" t="str">
            <v>標準活性汚泥法</v>
          </cell>
          <cell r="AS847" t="str">
            <v>1700181001</v>
          </cell>
          <cell r="AT847" t="str">
            <v/>
          </cell>
          <cell r="AU847" t="str">
            <v>11</v>
          </cell>
          <cell r="AV847" t="str">
            <v>11</v>
          </cell>
          <cell r="AW847">
            <v>1</v>
          </cell>
          <cell r="AX847">
            <v>0</v>
          </cell>
          <cell r="AY847">
            <v>0</v>
          </cell>
          <cell r="AZ847">
            <v>0</v>
          </cell>
          <cell r="BA847">
            <v>0</v>
          </cell>
          <cell r="BD847" t="str">
            <v/>
          </cell>
          <cell r="BE847">
            <v>1</v>
          </cell>
          <cell r="BG847" t="str">
            <v>1111</v>
          </cell>
        </row>
        <row r="848">
          <cell r="B848" t="str">
            <v>G170028106100100</v>
          </cell>
          <cell r="C848" t="str">
            <v>17.石川県</v>
          </cell>
          <cell r="D848" t="str">
            <v>002</v>
          </cell>
          <cell r="E848" t="str">
            <v>加賀沿岸流域</v>
          </cell>
          <cell r="F848" t="str">
            <v>81</v>
          </cell>
          <cell r="G848" t="str">
            <v>流域</v>
          </cell>
          <cell r="H848" t="str">
            <v>流域下水道</v>
          </cell>
          <cell r="I848" t="str">
            <v/>
          </cell>
          <cell r="J848" t="str">
            <v>001</v>
          </cell>
          <cell r="K848" t="str">
            <v>翠ヶ丘浄化センター</v>
          </cell>
          <cell r="M848" t="str">
            <v>1</v>
          </cell>
          <cell r="N848" t="str">
            <v>1</v>
          </cell>
          <cell r="O848" t="str">
            <v>1</v>
          </cell>
          <cell r="Q848">
            <v>32599</v>
          </cell>
          <cell r="R848" t="str">
            <v>平成</v>
          </cell>
          <cell r="S848">
            <v>1</v>
          </cell>
          <cell r="T848">
            <v>4</v>
          </cell>
          <cell r="AB848">
            <v>70500</v>
          </cell>
          <cell r="AC848" t="str">
            <v>日本海</v>
          </cell>
          <cell r="AD848" t="str">
            <v>Ａ</v>
          </cell>
          <cell r="AE848" t="str">
            <v>イ</v>
          </cell>
          <cell r="AF848">
            <v>15</v>
          </cell>
          <cell r="AI848" t="str">
            <v>日本海</v>
          </cell>
          <cell r="AQ848" t="str">
            <v/>
          </cell>
          <cell r="AR848" t="str">
            <v>標準活性汚泥法</v>
          </cell>
          <cell r="AS848" t="str">
            <v>1700281001</v>
          </cell>
          <cell r="AT848" t="str">
            <v/>
          </cell>
          <cell r="AU848" t="str">
            <v>11</v>
          </cell>
          <cell r="AV848" t="str">
            <v>11</v>
          </cell>
          <cell r="AW848">
            <v>0</v>
          </cell>
          <cell r="AX848">
            <v>0</v>
          </cell>
          <cell r="AY848">
            <v>0</v>
          </cell>
          <cell r="AZ848">
            <v>0</v>
          </cell>
          <cell r="BA848">
            <v>0</v>
          </cell>
          <cell r="BD848" t="str">
            <v/>
          </cell>
          <cell r="BE848">
            <v>1</v>
          </cell>
          <cell r="BG848" t="str">
            <v>1110</v>
          </cell>
        </row>
        <row r="849">
          <cell r="B849" t="str">
            <v>G170028106100200</v>
          </cell>
          <cell r="C849" t="str">
            <v>17.石川県</v>
          </cell>
          <cell r="D849" t="str">
            <v>002</v>
          </cell>
          <cell r="E849" t="str">
            <v>加賀沿岸流域</v>
          </cell>
          <cell r="F849" t="str">
            <v>81</v>
          </cell>
          <cell r="G849" t="str">
            <v>流域</v>
          </cell>
          <cell r="H849" t="str">
            <v>流域下水道</v>
          </cell>
          <cell r="I849" t="str">
            <v/>
          </cell>
          <cell r="J849" t="str">
            <v>002</v>
          </cell>
          <cell r="K849" t="str">
            <v>大聖寺川浄化センター</v>
          </cell>
          <cell r="M849" t="str">
            <v>1</v>
          </cell>
          <cell r="N849" t="str">
            <v>1</v>
          </cell>
          <cell r="O849" t="str">
            <v>1</v>
          </cell>
          <cell r="Q849">
            <v>35034</v>
          </cell>
          <cell r="R849" t="str">
            <v>平成</v>
          </cell>
          <cell r="S849">
            <v>7</v>
          </cell>
          <cell r="T849">
            <v>12</v>
          </cell>
          <cell r="AB849">
            <v>46000</v>
          </cell>
          <cell r="AC849" t="str">
            <v>大聖寺川下流河川</v>
          </cell>
          <cell r="AD849" t="str">
            <v>Ｂ</v>
          </cell>
          <cell r="AE849" t="str">
            <v>イ</v>
          </cell>
          <cell r="AF849">
            <v>15</v>
          </cell>
          <cell r="AJ849" t="str">
            <v>大聖寺川</v>
          </cell>
          <cell r="AQ849" t="str">
            <v/>
          </cell>
          <cell r="AR849" t="str">
            <v>標準活性汚泥法</v>
          </cell>
          <cell r="AS849" t="str">
            <v>1700281002</v>
          </cell>
          <cell r="AT849" t="str">
            <v/>
          </cell>
          <cell r="AU849" t="str">
            <v>11</v>
          </cell>
          <cell r="AV849" t="str">
            <v>11</v>
          </cell>
          <cell r="AW849">
            <v>0</v>
          </cell>
          <cell r="AX849">
            <v>0</v>
          </cell>
          <cell r="AY849">
            <v>0</v>
          </cell>
          <cell r="AZ849">
            <v>0</v>
          </cell>
          <cell r="BA849">
            <v>0</v>
          </cell>
          <cell r="BD849" t="str">
            <v/>
          </cell>
          <cell r="BE849">
            <v>1</v>
          </cell>
          <cell r="BG849" t="str">
            <v>1110</v>
          </cell>
        </row>
        <row r="850">
          <cell r="B850" t="str">
            <v>G172010106100100</v>
          </cell>
          <cell r="C850" t="str">
            <v>17.石川県</v>
          </cell>
          <cell r="D850" t="str">
            <v>201</v>
          </cell>
          <cell r="E850" t="str">
            <v>金沢市</v>
          </cell>
          <cell r="F850" t="str">
            <v>01</v>
          </cell>
          <cell r="G850" t="str">
            <v>公共 単独</v>
          </cell>
          <cell r="H850" t="str">
            <v>公共下水道</v>
          </cell>
          <cell r="I850" t="str">
            <v>単独</v>
          </cell>
          <cell r="J850" t="str">
            <v>001</v>
          </cell>
          <cell r="K850" t="str">
            <v>城北水質管理センター</v>
          </cell>
          <cell r="M850" t="str">
            <v>1</v>
          </cell>
          <cell r="N850" t="str">
            <v>1</v>
          </cell>
          <cell r="P850" t="str">
            <v>1</v>
          </cell>
          <cell r="Q850">
            <v>25294</v>
          </cell>
          <cell r="R850" t="str">
            <v>昭和</v>
          </cell>
          <cell r="S850">
            <v>44</v>
          </cell>
          <cell r="T850">
            <v>4</v>
          </cell>
          <cell r="AB850">
            <v>146800</v>
          </cell>
          <cell r="AC850" t="str">
            <v>浅野川</v>
          </cell>
          <cell r="AD850" t="str">
            <v>Ｂ</v>
          </cell>
          <cell r="AE850" t="str">
            <v>ロ</v>
          </cell>
          <cell r="AF850">
            <v>15</v>
          </cell>
          <cell r="AJ850" t="str">
            <v>浅野川</v>
          </cell>
          <cell r="AQ850" t="str">
            <v/>
          </cell>
          <cell r="AR850" t="str">
            <v>標準活性汚泥法</v>
          </cell>
          <cell r="AS850" t="str">
            <v>1720101001</v>
          </cell>
          <cell r="AT850" t="str">
            <v/>
          </cell>
          <cell r="AU850" t="str">
            <v>10</v>
          </cell>
          <cell r="AV850" t="str">
            <v>10</v>
          </cell>
          <cell r="AW850">
            <v>1</v>
          </cell>
          <cell r="AX850">
            <v>0</v>
          </cell>
          <cell r="AY850">
            <v>0</v>
          </cell>
          <cell r="AZ850">
            <v>0</v>
          </cell>
          <cell r="BA850">
            <v>0</v>
          </cell>
          <cell r="BD850" t="str">
            <v/>
          </cell>
          <cell r="BE850">
            <v>1</v>
          </cell>
          <cell r="BG850" t="str">
            <v>1101</v>
          </cell>
        </row>
        <row r="851">
          <cell r="B851" t="str">
            <v>G172010106100200</v>
          </cell>
          <cell r="C851" t="str">
            <v>17.石川県</v>
          </cell>
          <cell r="D851" t="str">
            <v>201</v>
          </cell>
          <cell r="E851" t="str">
            <v>金沢市</v>
          </cell>
          <cell r="F851" t="str">
            <v>01</v>
          </cell>
          <cell r="G851" t="str">
            <v>公共 単独</v>
          </cell>
          <cell r="H851" t="str">
            <v>公共下水道</v>
          </cell>
          <cell r="I851" t="str">
            <v>単独</v>
          </cell>
          <cell r="J851" t="str">
            <v>002</v>
          </cell>
          <cell r="K851" t="str">
            <v>西部水質管理センター</v>
          </cell>
          <cell r="M851" t="str">
            <v>1</v>
          </cell>
          <cell r="N851" t="str">
            <v>1</v>
          </cell>
          <cell r="P851" t="str">
            <v>1</v>
          </cell>
          <cell r="Q851">
            <v>29403</v>
          </cell>
          <cell r="R851" t="str">
            <v>昭和</v>
          </cell>
          <cell r="S851">
            <v>55</v>
          </cell>
          <cell r="T851">
            <v>7</v>
          </cell>
          <cell r="V851">
            <v>33695</v>
          </cell>
          <cell r="W851" t="str">
            <v>平成</v>
          </cell>
          <cell r="X851">
            <v>4</v>
          </cell>
          <cell r="Y851">
            <v>4</v>
          </cell>
          <cell r="AB851">
            <v>46769</v>
          </cell>
          <cell r="AC851" t="str">
            <v>伏見川</v>
          </cell>
          <cell r="AD851" t="str">
            <v>Ｅ</v>
          </cell>
          <cell r="AE851" t="str">
            <v>ロ</v>
          </cell>
          <cell r="AF851">
            <v>15</v>
          </cell>
          <cell r="AI851" t="str">
            <v>伏見川</v>
          </cell>
          <cell r="AJ851" t="str">
            <v>犀川</v>
          </cell>
          <cell r="AL851" t="str">
            <v>新内川ダム小原取水口</v>
          </cell>
          <cell r="AM851">
            <v>100</v>
          </cell>
          <cell r="AO851" t="str">
            <v>金沢市</v>
          </cell>
          <cell r="AQ851" t="str">
            <v/>
          </cell>
          <cell r="AR851" t="str">
            <v>標準活性汚泥法</v>
          </cell>
          <cell r="AS851" t="str">
            <v>1720101002</v>
          </cell>
          <cell r="AT851" t="str">
            <v/>
          </cell>
          <cell r="AU851" t="str">
            <v>10</v>
          </cell>
          <cell r="AV851" t="str">
            <v>10</v>
          </cell>
          <cell r="AW851">
            <v>1</v>
          </cell>
          <cell r="AX851">
            <v>0</v>
          </cell>
          <cell r="AY851">
            <v>0</v>
          </cell>
          <cell r="AZ851">
            <v>0</v>
          </cell>
          <cell r="BA851">
            <v>0</v>
          </cell>
          <cell r="BD851" t="str">
            <v/>
          </cell>
          <cell r="BE851">
            <v>1</v>
          </cell>
          <cell r="BG851" t="str">
            <v>1101</v>
          </cell>
        </row>
        <row r="852">
          <cell r="B852" t="str">
            <v>G172010106100300</v>
          </cell>
          <cell r="C852" t="str">
            <v>17.石川県</v>
          </cell>
          <cell r="D852" t="str">
            <v>201</v>
          </cell>
          <cell r="E852" t="str">
            <v>金沢市</v>
          </cell>
          <cell r="F852" t="str">
            <v>01</v>
          </cell>
          <cell r="G852" t="str">
            <v>公共 単独</v>
          </cell>
          <cell r="H852" t="str">
            <v>公共下水道</v>
          </cell>
          <cell r="I852" t="str">
            <v>単独</v>
          </cell>
          <cell r="J852" t="str">
            <v>003</v>
          </cell>
          <cell r="K852" t="str">
            <v>臨海水質管理センター</v>
          </cell>
          <cell r="M852" t="str">
            <v>1</v>
          </cell>
          <cell r="N852" t="str">
            <v>1</v>
          </cell>
          <cell r="P852" t="str">
            <v>1</v>
          </cell>
          <cell r="Q852">
            <v>34608</v>
          </cell>
          <cell r="R852" t="str">
            <v>平成</v>
          </cell>
          <cell r="S852">
            <v>6</v>
          </cell>
          <cell r="T852">
            <v>10</v>
          </cell>
          <cell r="AB852">
            <v>98777</v>
          </cell>
          <cell r="AC852" t="str">
            <v>河北潟の一部及び大野川の一部</v>
          </cell>
          <cell r="AD852" t="str">
            <v>Ｃ</v>
          </cell>
          <cell r="AE852" t="str">
            <v>イ</v>
          </cell>
          <cell r="AF852">
            <v>15</v>
          </cell>
          <cell r="AJ852" t="str">
            <v>大野川</v>
          </cell>
          <cell r="AQ852" t="str">
            <v/>
          </cell>
          <cell r="AR852" t="str">
            <v>標準活性汚泥法</v>
          </cell>
          <cell r="AS852" t="str">
            <v>1720101003</v>
          </cell>
          <cell r="AT852" t="str">
            <v/>
          </cell>
          <cell r="AU852" t="str">
            <v>10</v>
          </cell>
          <cell r="AV852" t="str">
            <v>10</v>
          </cell>
          <cell r="AW852">
            <v>1</v>
          </cell>
          <cell r="AX852">
            <v>0</v>
          </cell>
          <cell r="AY852">
            <v>0</v>
          </cell>
          <cell r="AZ852">
            <v>0</v>
          </cell>
          <cell r="BA852">
            <v>0</v>
          </cell>
          <cell r="BD852" t="str">
            <v/>
          </cell>
          <cell r="BE852">
            <v>1</v>
          </cell>
          <cell r="BG852" t="str">
            <v>1101</v>
          </cell>
        </row>
        <row r="853">
          <cell r="B853" t="str">
            <v>G172010106100400</v>
          </cell>
          <cell r="C853" t="str">
            <v>17.石川県</v>
          </cell>
          <cell r="D853" t="str">
            <v>201</v>
          </cell>
          <cell r="E853" t="str">
            <v>金沢市</v>
          </cell>
          <cell r="F853" t="str">
            <v>01</v>
          </cell>
          <cell r="G853" t="str">
            <v>公共 単独</v>
          </cell>
          <cell r="H853" t="str">
            <v>公共下水道</v>
          </cell>
          <cell r="I853" t="str">
            <v>単独</v>
          </cell>
          <cell r="J853" t="str">
            <v>004</v>
          </cell>
          <cell r="K853" t="str">
            <v>テクノパーク水質管理ステーション</v>
          </cell>
          <cell r="M853" t="str">
            <v>1</v>
          </cell>
          <cell r="N853" t="str">
            <v>1</v>
          </cell>
          <cell r="Q853">
            <v>34669</v>
          </cell>
          <cell r="R853" t="str">
            <v>平成</v>
          </cell>
          <cell r="S853">
            <v>6</v>
          </cell>
          <cell r="T853">
            <v>12</v>
          </cell>
          <cell r="AB853">
            <v>8100</v>
          </cell>
          <cell r="AC853" t="str">
            <v>森下川上流</v>
          </cell>
          <cell r="AD853" t="str">
            <v>Ａ</v>
          </cell>
          <cell r="AE853" t="str">
            <v>イ</v>
          </cell>
          <cell r="AF853">
            <v>15</v>
          </cell>
          <cell r="AJ853" t="str">
            <v>森下川</v>
          </cell>
          <cell r="AQ853" t="str">
            <v/>
          </cell>
          <cell r="AR853" t="str">
            <v>オキシディションディッチ法</v>
          </cell>
          <cell r="AS853" t="str">
            <v>1720101004</v>
          </cell>
          <cell r="AT853" t="str">
            <v/>
          </cell>
          <cell r="AU853" t="str">
            <v>10</v>
          </cell>
          <cell r="AV853" t="str">
            <v>10</v>
          </cell>
          <cell r="AW853">
            <v>0</v>
          </cell>
          <cell r="AX853">
            <v>0</v>
          </cell>
          <cell r="AY853">
            <v>0</v>
          </cell>
          <cell r="AZ853">
            <v>0</v>
          </cell>
          <cell r="BA853">
            <v>0</v>
          </cell>
          <cell r="BD853" t="str">
            <v/>
          </cell>
          <cell r="BE853">
            <v>1</v>
          </cell>
          <cell r="BG853" t="str">
            <v>1100</v>
          </cell>
        </row>
        <row r="854">
          <cell r="B854" t="str">
            <v>G172010206100500</v>
          </cell>
          <cell r="C854" t="str">
            <v>17.石川県</v>
          </cell>
          <cell r="D854" t="str">
            <v>201</v>
          </cell>
          <cell r="E854" t="str">
            <v>金沢市</v>
          </cell>
          <cell r="F854" t="str">
            <v>02</v>
          </cell>
          <cell r="G854" t="str">
            <v>特環 単独</v>
          </cell>
          <cell r="H854" t="str">
            <v>特定環境保全公共下水道</v>
          </cell>
          <cell r="I854" t="str">
            <v>単独</v>
          </cell>
          <cell r="J854" t="str">
            <v>005</v>
          </cell>
          <cell r="K854" t="str">
            <v>湯涌水質管理ステーション</v>
          </cell>
          <cell r="M854" t="str">
            <v>1</v>
          </cell>
          <cell r="N854" t="str">
            <v>1</v>
          </cell>
          <cell r="Q854">
            <v>36982</v>
          </cell>
          <cell r="R854" t="str">
            <v>平成</v>
          </cell>
          <cell r="S854">
            <v>13</v>
          </cell>
          <cell r="T854">
            <v>4</v>
          </cell>
          <cell r="AB854">
            <v>4500</v>
          </cell>
          <cell r="AC854" t="str">
            <v>浅野川</v>
          </cell>
          <cell r="AD854" t="str">
            <v>Ａ</v>
          </cell>
          <cell r="AE854" t="str">
            <v>イ</v>
          </cell>
          <cell r="AF854">
            <v>15</v>
          </cell>
          <cell r="AJ854" t="str">
            <v>浅野川</v>
          </cell>
          <cell r="AQ854" t="str">
            <v/>
          </cell>
          <cell r="AR854" t="str">
            <v>オキシディションディッチ法</v>
          </cell>
          <cell r="AS854" t="str">
            <v>1720102005</v>
          </cell>
          <cell r="AT854" t="str">
            <v/>
          </cell>
          <cell r="AU854" t="str">
            <v>10</v>
          </cell>
          <cell r="AV854" t="str">
            <v>10</v>
          </cell>
          <cell r="AW854">
            <v>0</v>
          </cell>
          <cell r="AX854">
            <v>0</v>
          </cell>
          <cell r="AY854">
            <v>0</v>
          </cell>
          <cell r="AZ854">
            <v>0</v>
          </cell>
          <cell r="BA854">
            <v>0</v>
          </cell>
          <cell r="BD854" t="str">
            <v/>
          </cell>
          <cell r="BE854">
            <v>1</v>
          </cell>
          <cell r="BG854" t="str">
            <v>1100</v>
          </cell>
        </row>
        <row r="855">
          <cell r="B855" t="str">
            <v>G172020106100100</v>
          </cell>
          <cell r="C855" t="str">
            <v>17.石川県</v>
          </cell>
          <cell r="D855" t="str">
            <v>202</v>
          </cell>
          <cell r="E855" t="str">
            <v>七尾市</v>
          </cell>
          <cell r="F855" t="str">
            <v>01</v>
          </cell>
          <cell r="G855" t="str">
            <v>公共 単独</v>
          </cell>
          <cell r="H855" t="str">
            <v>公共下水道</v>
          </cell>
          <cell r="I855" t="str">
            <v>単独</v>
          </cell>
          <cell r="J855" t="str">
            <v>001</v>
          </cell>
          <cell r="K855" t="str">
            <v>西部水質管理センター</v>
          </cell>
          <cell r="M855" t="str">
            <v>1</v>
          </cell>
          <cell r="N855" t="str">
            <v>1</v>
          </cell>
          <cell r="O855" t="str">
            <v>1</v>
          </cell>
          <cell r="Q855">
            <v>34547</v>
          </cell>
          <cell r="R855" t="str">
            <v>平成</v>
          </cell>
          <cell r="S855">
            <v>6</v>
          </cell>
          <cell r="T855">
            <v>8</v>
          </cell>
          <cell r="AB855">
            <v>28860</v>
          </cell>
          <cell r="AC855" t="str">
            <v>七尾西湾</v>
          </cell>
          <cell r="AD855" t="str">
            <v>Ａ</v>
          </cell>
          <cell r="AE855" t="str">
            <v>イ</v>
          </cell>
          <cell r="AF855">
            <v>15</v>
          </cell>
          <cell r="AI855" t="str">
            <v>七尾西湾</v>
          </cell>
          <cell r="AQ855" t="str">
            <v/>
          </cell>
          <cell r="AR855" t="str">
            <v>オキシディションディッチ法</v>
          </cell>
          <cell r="AS855" t="str">
            <v>1720201001</v>
          </cell>
          <cell r="AT855" t="str">
            <v/>
          </cell>
          <cell r="AU855" t="str">
            <v>11</v>
          </cell>
          <cell r="AV855" t="str">
            <v>11</v>
          </cell>
          <cell r="AW855">
            <v>0</v>
          </cell>
          <cell r="AX855">
            <v>0</v>
          </cell>
          <cell r="AY855">
            <v>0</v>
          </cell>
          <cell r="AZ855">
            <v>0</v>
          </cell>
          <cell r="BA855">
            <v>0</v>
          </cell>
          <cell r="BD855" t="str">
            <v/>
          </cell>
          <cell r="BE855">
            <v>1</v>
          </cell>
          <cell r="BG855" t="str">
            <v>1110</v>
          </cell>
        </row>
        <row r="856">
          <cell r="B856" t="str">
            <v>G172020106100200</v>
          </cell>
          <cell r="C856" t="str">
            <v>17.石川県</v>
          </cell>
          <cell r="D856" t="str">
            <v>202</v>
          </cell>
          <cell r="E856" t="str">
            <v>七尾市</v>
          </cell>
          <cell r="F856" t="str">
            <v>01</v>
          </cell>
          <cell r="G856" t="str">
            <v>公共 単独</v>
          </cell>
          <cell r="H856" t="str">
            <v>公共下水道</v>
          </cell>
          <cell r="I856" t="str">
            <v>単独</v>
          </cell>
          <cell r="J856" t="str">
            <v>002</v>
          </cell>
          <cell r="K856" t="str">
            <v>中央水質管理センター</v>
          </cell>
          <cell r="M856" t="str">
            <v>1</v>
          </cell>
          <cell r="N856" t="str">
            <v>1</v>
          </cell>
          <cell r="Q856">
            <v>38078</v>
          </cell>
          <cell r="R856" t="str">
            <v>平成</v>
          </cell>
          <cell r="S856">
            <v>16</v>
          </cell>
          <cell r="T856">
            <v>4</v>
          </cell>
          <cell r="AB856">
            <v>36362</v>
          </cell>
          <cell r="AC856" t="str">
            <v>七尾南湾甲</v>
          </cell>
          <cell r="AD856" t="str">
            <v>Ｂ-Ⅱ</v>
          </cell>
          <cell r="AE856" t="str">
            <v>イ</v>
          </cell>
          <cell r="AF856">
            <v>15</v>
          </cell>
          <cell r="AJ856" t="str">
            <v>大谷川</v>
          </cell>
          <cell r="AQ856" t="str">
            <v/>
          </cell>
          <cell r="AR856" t="str">
            <v>標準活性汚泥法</v>
          </cell>
          <cell r="AS856" t="str">
            <v>1720201002</v>
          </cell>
          <cell r="AT856" t="str">
            <v/>
          </cell>
          <cell r="AU856" t="str">
            <v>10</v>
          </cell>
          <cell r="AV856" t="str">
            <v>10</v>
          </cell>
          <cell r="AW856">
            <v>0</v>
          </cell>
          <cell r="AX856">
            <v>0</v>
          </cell>
          <cell r="AY856">
            <v>0</v>
          </cell>
          <cell r="AZ856">
            <v>0</v>
          </cell>
          <cell r="BA856">
            <v>0</v>
          </cell>
          <cell r="BD856" t="str">
            <v/>
          </cell>
          <cell r="BE856">
            <v>1</v>
          </cell>
          <cell r="BG856" t="str">
            <v>1100</v>
          </cell>
        </row>
        <row r="857">
          <cell r="B857" t="str">
            <v>G172020206100300</v>
          </cell>
          <cell r="C857" t="str">
            <v>17.石川県</v>
          </cell>
          <cell r="D857" t="str">
            <v>202</v>
          </cell>
          <cell r="E857" t="str">
            <v>七尾市</v>
          </cell>
          <cell r="F857" t="str">
            <v>02</v>
          </cell>
          <cell r="G857" t="str">
            <v>特環 単独</v>
          </cell>
          <cell r="H857" t="str">
            <v>特定環境保全公共下水道</v>
          </cell>
          <cell r="I857" t="str">
            <v>単独</v>
          </cell>
          <cell r="J857" t="str">
            <v>003</v>
          </cell>
          <cell r="K857" t="str">
            <v>田鶴浜浄化センター</v>
          </cell>
          <cell r="M857" t="str">
            <v>1</v>
          </cell>
          <cell r="N857" t="str">
            <v>1</v>
          </cell>
          <cell r="O857" t="str">
            <v>1</v>
          </cell>
          <cell r="Q857">
            <v>34425</v>
          </cell>
          <cell r="R857" t="str">
            <v>平成</v>
          </cell>
          <cell r="S857">
            <v>6</v>
          </cell>
          <cell r="T857">
            <v>4</v>
          </cell>
          <cell r="AB857">
            <v>8520</v>
          </cell>
          <cell r="AC857" t="str">
            <v>七尾西湾</v>
          </cell>
          <cell r="AD857" t="str">
            <v>Ａ</v>
          </cell>
          <cell r="AE857" t="str">
            <v>イ</v>
          </cell>
          <cell r="AF857">
            <v>15</v>
          </cell>
          <cell r="AJ857" t="str">
            <v>二宮川</v>
          </cell>
          <cell r="AQ857" t="str">
            <v/>
          </cell>
          <cell r="AR857" t="str">
            <v>オキシディションディッチ法</v>
          </cell>
          <cell r="AS857" t="str">
            <v>1720202003</v>
          </cell>
          <cell r="AT857" t="str">
            <v/>
          </cell>
          <cell r="AU857" t="str">
            <v>11</v>
          </cell>
          <cell r="AV857" t="str">
            <v>11</v>
          </cell>
          <cell r="AW857">
            <v>0</v>
          </cell>
          <cell r="AX857">
            <v>0</v>
          </cell>
          <cell r="AY857">
            <v>0</v>
          </cell>
          <cell r="AZ857">
            <v>0</v>
          </cell>
          <cell r="BA857">
            <v>0</v>
          </cell>
          <cell r="BD857" t="str">
            <v/>
          </cell>
          <cell r="BE857">
            <v>1</v>
          </cell>
          <cell r="BG857" t="str">
            <v>1110</v>
          </cell>
        </row>
        <row r="858">
          <cell r="B858" t="str">
            <v>G172020206100400</v>
          </cell>
          <cell r="C858" t="str">
            <v>17.石川県</v>
          </cell>
          <cell r="D858" t="str">
            <v>202</v>
          </cell>
          <cell r="E858" t="str">
            <v>七尾市</v>
          </cell>
          <cell r="F858" t="str">
            <v>02</v>
          </cell>
          <cell r="G858" t="str">
            <v>特環 単独</v>
          </cell>
          <cell r="H858" t="str">
            <v>特定環境保全公共下水道</v>
          </cell>
          <cell r="I858" t="str">
            <v>単独</v>
          </cell>
          <cell r="J858" t="str">
            <v>004</v>
          </cell>
          <cell r="K858" t="str">
            <v>中部処理場</v>
          </cell>
          <cell r="M858" t="str">
            <v>1</v>
          </cell>
          <cell r="N858" t="str">
            <v>1</v>
          </cell>
          <cell r="O858" t="str">
            <v>1</v>
          </cell>
          <cell r="Q858">
            <v>35125</v>
          </cell>
          <cell r="R858" t="str">
            <v>平成</v>
          </cell>
          <cell r="S858">
            <v>8</v>
          </cell>
          <cell r="T858">
            <v>3</v>
          </cell>
          <cell r="AB858">
            <v>3370</v>
          </cell>
          <cell r="AC858" t="str">
            <v>七尾北湾</v>
          </cell>
          <cell r="AD858" t="str">
            <v>Ａ</v>
          </cell>
          <cell r="AE858" t="str">
            <v>イ</v>
          </cell>
          <cell r="AF858">
            <v>15</v>
          </cell>
          <cell r="AI858" t="str">
            <v>七尾北湾</v>
          </cell>
          <cell r="AQ858" t="str">
            <v/>
          </cell>
          <cell r="AR858" t="str">
            <v>オキシディションディッチ法</v>
          </cell>
          <cell r="AS858" t="str">
            <v>1720202004</v>
          </cell>
          <cell r="AT858" t="str">
            <v/>
          </cell>
          <cell r="AU858" t="str">
            <v>11</v>
          </cell>
          <cell r="AV858" t="str">
            <v>11</v>
          </cell>
          <cell r="AW858">
            <v>0</v>
          </cell>
          <cell r="AX858">
            <v>0</v>
          </cell>
          <cell r="AY858">
            <v>0</v>
          </cell>
          <cell r="AZ858">
            <v>0</v>
          </cell>
          <cell r="BA858">
            <v>0</v>
          </cell>
          <cell r="BD858" t="str">
            <v/>
          </cell>
          <cell r="BE858">
            <v>1</v>
          </cell>
          <cell r="BG858" t="str">
            <v>1110</v>
          </cell>
        </row>
        <row r="859">
          <cell r="B859" t="str">
            <v>G172020206100500</v>
          </cell>
          <cell r="C859" t="str">
            <v>17.石川県</v>
          </cell>
          <cell r="D859" t="str">
            <v>202</v>
          </cell>
          <cell r="E859" t="str">
            <v>七尾市</v>
          </cell>
          <cell r="F859" t="str">
            <v>02</v>
          </cell>
          <cell r="G859" t="str">
            <v>特環 単独</v>
          </cell>
          <cell r="H859" t="str">
            <v>特定環境保全公共下水道</v>
          </cell>
          <cell r="I859" t="str">
            <v>単独</v>
          </cell>
          <cell r="J859" t="str">
            <v>005</v>
          </cell>
          <cell r="K859" t="str">
            <v>中島浄化センター</v>
          </cell>
          <cell r="M859" t="str">
            <v>1</v>
          </cell>
          <cell r="N859" t="str">
            <v>1</v>
          </cell>
          <cell r="O859" t="str">
            <v>1</v>
          </cell>
          <cell r="Q859">
            <v>35855</v>
          </cell>
          <cell r="R859" t="str">
            <v>平成</v>
          </cell>
          <cell r="S859">
            <v>10</v>
          </cell>
          <cell r="T859">
            <v>3</v>
          </cell>
          <cell r="AB859">
            <v>10100</v>
          </cell>
          <cell r="AC859" t="str">
            <v>七尾西湾</v>
          </cell>
          <cell r="AD859" t="str">
            <v>Ａ</v>
          </cell>
          <cell r="AE859" t="str">
            <v>イ</v>
          </cell>
          <cell r="AF859">
            <v>15</v>
          </cell>
          <cell r="AJ859" t="str">
            <v>熊木川</v>
          </cell>
          <cell r="AQ859" t="str">
            <v/>
          </cell>
          <cell r="AR859" t="str">
            <v>オキシディションディッチ法</v>
          </cell>
          <cell r="AS859" t="str">
            <v>1720202005</v>
          </cell>
          <cell r="AT859" t="str">
            <v/>
          </cell>
          <cell r="AU859" t="str">
            <v>11</v>
          </cell>
          <cell r="AV859" t="str">
            <v>11</v>
          </cell>
          <cell r="AW859">
            <v>0</v>
          </cell>
          <cell r="AX859">
            <v>0</v>
          </cell>
          <cell r="AY859">
            <v>0</v>
          </cell>
          <cell r="AZ859">
            <v>0</v>
          </cell>
          <cell r="BA859">
            <v>0</v>
          </cell>
          <cell r="BD859" t="str">
            <v/>
          </cell>
          <cell r="BE859">
            <v>1</v>
          </cell>
          <cell r="BG859" t="str">
            <v>1110</v>
          </cell>
        </row>
        <row r="860">
          <cell r="B860" t="str">
            <v>G172020206100600</v>
          </cell>
          <cell r="C860" t="str">
            <v>17.石川県</v>
          </cell>
          <cell r="D860" t="str">
            <v>202</v>
          </cell>
          <cell r="E860" t="str">
            <v>七尾市</v>
          </cell>
          <cell r="F860" t="str">
            <v>02</v>
          </cell>
          <cell r="G860" t="str">
            <v>特環 単独</v>
          </cell>
          <cell r="H860" t="str">
            <v>特定環境保全公共下水道</v>
          </cell>
          <cell r="I860" t="str">
            <v>単独</v>
          </cell>
          <cell r="J860" t="str">
            <v>006</v>
          </cell>
          <cell r="K860" t="str">
            <v>長浦処理場</v>
          </cell>
          <cell r="M860" t="str">
            <v>1</v>
          </cell>
          <cell r="N860" t="str">
            <v>1</v>
          </cell>
          <cell r="Q860">
            <v>38412</v>
          </cell>
          <cell r="R860" t="str">
            <v>平成</v>
          </cell>
          <cell r="S860">
            <v>17</v>
          </cell>
          <cell r="T860">
            <v>3</v>
          </cell>
          <cell r="AB860">
            <v>1300</v>
          </cell>
          <cell r="AC860" t="str">
            <v>七尾西湾</v>
          </cell>
          <cell r="AD860" t="str">
            <v>Ａ</v>
          </cell>
          <cell r="AE860" t="str">
            <v>イ</v>
          </cell>
          <cell r="AF860">
            <v>15</v>
          </cell>
          <cell r="AI860" t="str">
            <v>七尾西湾</v>
          </cell>
          <cell r="AQ860" t="str">
            <v/>
          </cell>
          <cell r="AR860" t="str">
            <v>オキシディションディッチ法</v>
          </cell>
          <cell r="AS860" t="str">
            <v>1720202006</v>
          </cell>
          <cell r="AT860" t="str">
            <v/>
          </cell>
          <cell r="AU860" t="str">
            <v>10</v>
          </cell>
          <cell r="AV860" t="str">
            <v>10</v>
          </cell>
          <cell r="AW860">
            <v>0</v>
          </cell>
          <cell r="AX860">
            <v>0</v>
          </cell>
          <cell r="AY860">
            <v>0</v>
          </cell>
          <cell r="AZ860">
            <v>0</v>
          </cell>
          <cell r="BA860">
            <v>0</v>
          </cell>
          <cell r="BD860" t="str">
            <v/>
          </cell>
          <cell r="BE860">
            <v>1</v>
          </cell>
          <cell r="BG860" t="str">
            <v>1100</v>
          </cell>
        </row>
        <row r="861">
          <cell r="B861" t="str">
            <v>G172030106100100</v>
          </cell>
          <cell r="C861" t="str">
            <v>17.石川県</v>
          </cell>
          <cell r="D861" t="str">
            <v>203</v>
          </cell>
          <cell r="E861" t="str">
            <v>小松市</v>
          </cell>
          <cell r="F861" t="str">
            <v>01</v>
          </cell>
          <cell r="G861" t="str">
            <v>公共 単独</v>
          </cell>
          <cell r="H861" t="str">
            <v>公共下水道</v>
          </cell>
          <cell r="I861" t="str">
            <v>単独</v>
          </cell>
          <cell r="J861" t="str">
            <v>001</v>
          </cell>
          <cell r="K861" t="str">
            <v>小松市中央浄化センター</v>
          </cell>
          <cell r="M861" t="str">
            <v>1</v>
          </cell>
          <cell r="N861" t="str">
            <v>1</v>
          </cell>
          <cell r="P861" t="str">
            <v>1</v>
          </cell>
          <cell r="Q861">
            <v>29099</v>
          </cell>
          <cell r="R861" t="str">
            <v>昭和</v>
          </cell>
          <cell r="S861">
            <v>54</v>
          </cell>
          <cell r="T861">
            <v>9</v>
          </cell>
          <cell r="AB861">
            <v>34100</v>
          </cell>
          <cell r="AC861" t="str">
            <v>梯川</v>
          </cell>
          <cell r="AD861" t="str">
            <v>Ｂ</v>
          </cell>
          <cell r="AE861" t="str">
            <v>ロ</v>
          </cell>
          <cell r="AF861">
            <v>15</v>
          </cell>
          <cell r="AK861" t="str">
            <v>梯川</v>
          </cell>
          <cell r="AQ861" t="str">
            <v/>
          </cell>
          <cell r="AR861" t="str">
            <v>標準活性汚泥法</v>
          </cell>
          <cell r="AS861" t="str">
            <v>1720301001</v>
          </cell>
          <cell r="AT861" t="str">
            <v/>
          </cell>
          <cell r="AU861" t="str">
            <v>10</v>
          </cell>
          <cell r="AV861" t="str">
            <v>10</v>
          </cell>
          <cell r="AW861">
            <v>1</v>
          </cell>
          <cell r="AX861">
            <v>0</v>
          </cell>
          <cell r="AY861">
            <v>0</v>
          </cell>
          <cell r="AZ861">
            <v>0</v>
          </cell>
          <cell r="BA861">
            <v>0</v>
          </cell>
          <cell r="BD861" t="str">
            <v/>
          </cell>
          <cell r="BE861">
            <v>1</v>
          </cell>
          <cell r="BG861" t="str">
            <v>1101</v>
          </cell>
        </row>
        <row r="862">
          <cell r="B862" t="str">
            <v>G172040106100100</v>
          </cell>
          <cell r="C862" t="str">
            <v>17.石川県</v>
          </cell>
          <cell r="D862" t="str">
            <v>204</v>
          </cell>
          <cell r="E862" t="str">
            <v>輪島市</v>
          </cell>
          <cell r="F862" t="str">
            <v>01</v>
          </cell>
          <cell r="G862" t="str">
            <v>公共 単独</v>
          </cell>
          <cell r="H862" t="str">
            <v>公共下水道</v>
          </cell>
          <cell r="I862" t="str">
            <v>単独</v>
          </cell>
          <cell r="J862" t="str">
            <v>001</v>
          </cell>
          <cell r="K862" t="str">
            <v>輪島市浄化センター</v>
          </cell>
          <cell r="M862" t="str">
            <v>1</v>
          </cell>
          <cell r="N862" t="str">
            <v>1</v>
          </cell>
          <cell r="Q862">
            <v>36678</v>
          </cell>
          <cell r="R862" t="str">
            <v>平成</v>
          </cell>
          <cell r="S862">
            <v>12</v>
          </cell>
          <cell r="T862">
            <v>6</v>
          </cell>
          <cell r="AB862">
            <v>32000</v>
          </cell>
          <cell r="AC862" t="str">
            <v>能登半島沿岸海域</v>
          </cell>
          <cell r="AD862" t="str">
            <v>Ａ</v>
          </cell>
          <cell r="AE862" t="str">
            <v>イ</v>
          </cell>
          <cell r="AF862">
            <v>15</v>
          </cell>
          <cell r="AG862">
            <v>20</v>
          </cell>
          <cell r="AJ862" t="str">
            <v>鳳至川</v>
          </cell>
          <cell r="AQ862" t="str">
            <v/>
          </cell>
          <cell r="AR862" t="str">
            <v>オキシディションディッチ法</v>
          </cell>
          <cell r="AS862" t="str">
            <v>1720401001</v>
          </cell>
          <cell r="AT862" t="str">
            <v/>
          </cell>
          <cell r="AU862" t="str">
            <v>10</v>
          </cell>
          <cell r="AV862" t="str">
            <v>10</v>
          </cell>
          <cell r="AW862">
            <v>0</v>
          </cell>
          <cell r="AX862">
            <v>0</v>
          </cell>
          <cell r="AY862">
            <v>0</v>
          </cell>
          <cell r="AZ862">
            <v>0</v>
          </cell>
          <cell r="BA862">
            <v>0</v>
          </cell>
          <cell r="BD862" t="str">
            <v/>
          </cell>
          <cell r="BE862">
            <v>1</v>
          </cell>
          <cell r="BG862" t="str">
            <v>1100</v>
          </cell>
        </row>
        <row r="863">
          <cell r="B863" t="str">
            <v>G172040206100200</v>
          </cell>
          <cell r="C863" t="str">
            <v>17.石川県</v>
          </cell>
          <cell r="D863" t="str">
            <v>204</v>
          </cell>
          <cell r="E863" t="str">
            <v>輪島市</v>
          </cell>
          <cell r="F863" t="str">
            <v>02</v>
          </cell>
          <cell r="G863" t="str">
            <v>特環 単独</v>
          </cell>
          <cell r="H863" t="str">
            <v>特定環境保全公共下水道</v>
          </cell>
          <cell r="I863" t="str">
            <v>単独</v>
          </cell>
          <cell r="J863" t="str">
            <v>002</v>
          </cell>
          <cell r="K863" t="str">
            <v>門前水質管理センター</v>
          </cell>
          <cell r="M863" t="str">
            <v>1</v>
          </cell>
          <cell r="N863" t="str">
            <v>1</v>
          </cell>
          <cell r="Q863">
            <v>34759</v>
          </cell>
          <cell r="R863" t="str">
            <v>平成</v>
          </cell>
          <cell r="S863">
            <v>7</v>
          </cell>
          <cell r="T863">
            <v>3</v>
          </cell>
          <cell r="AB863">
            <v>12286</v>
          </cell>
          <cell r="AC863" t="str">
            <v>能登半島沿岸海域</v>
          </cell>
          <cell r="AD863" t="str">
            <v>Ａ</v>
          </cell>
          <cell r="AE863" t="str">
            <v>イ</v>
          </cell>
          <cell r="AF863">
            <v>15</v>
          </cell>
          <cell r="AJ863" t="str">
            <v>八ヶ川</v>
          </cell>
          <cell r="AL863" t="str">
            <v>八ヶ川ダム</v>
          </cell>
          <cell r="AM863">
            <v>15</v>
          </cell>
          <cell r="AO863" t="str">
            <v>輪島市</v>
          </cell>
          <cell r="AQ863" t="str">
            <v/>
          </cell>
          <cell r="AR863" t="str">
            <v>オキシディションディッチ法</v>
          </cell>
          <cell r="AS863" t="str">
            <v>1720402002</v>
          </cell>
          <cell r="AT863" t="str">
            <v/>
          </cell>
          <cell r="AU863" t="str">
            <v>10</v>
          </cell>
          <cell r="AV863" t="str">
            <v>10</v>
          </cell>
          <cell r="AW863">
            <v>0</v>
          </cell>
          <cell r="AX863">
            <v>0</v>
          </cell>
          <cell r="AY863">
            <v>0</v>
          </cell>
          <cell r="AZ863">
            <v>0</v>
          </cell>
          <cell r="BA863">
            <v>0</v>
          </cell>
          <cell r="BD863" t="str">
            <v/>
          </cell>
          <cell r="BE863">
            <v>1</v>
          </cell>
          <cell r="BG863" t="str">
            <v>1100</v>
          </cell>
        </row>
        <row r="864">
          <cell r="B864" t="str">
            <v>G172040206100300</v>
          </cell>
          <cell r="C864" t="str">
            <v>17.石川県</v>
          </cell>
          <cell r="D864" t="str">
            <v>204</v>
          </cell>
          <cell r="E864" t="str">
            <v>輪島市</v>
          </cell>
          <cell r="F864" t="str">
            <v>02</v>
          </cell>
          <cell r="G864" t="str">
            <v>特環 単独</v>
          </cell>
          <cell r="H864" t="str">
            <v>特定環境保全公共下水道</v>
          </cell>
          <cell r="I864" t="str">
            <v>単独</v>
          </cell>
          <cell r="J864" t="str">
            <v>003</v>
          </cell>
          <cell r="K864" t="str">
            <v>剱地浄化センター</v>
          </cell>
          <cell r="M864" t="str">
            <v>1</v>
          </cell>
          <cell r="N864" t="str">
            <v>1</v>
          </cell>
          <cell r="Q864">
            <v>38412</v>
          </cell>
          <cell r="R864" t="str">
            <v>平成</v>
          </cell>
          <cell r="S864">
            <v>17</v>
          </cell>
          <cell r="T864">
            <v>3</v>
          </cell>
          <cell r="AB864">
            <v>3515</v>
          </cell>
          <cell r="AC864" t="str">
            <v>能登半島沿岸海域</v>
          </cell>
          <cell r="AD864" t="str">
            <v>Ａ</v>
          </cell>
          <cell r="AE864" t="str">
            <v>イ</v>
          </cell>
          <cell r="AF864">
            <v>15</v>
          </cell>
          <cell r="AJ864" t="str">
            <v>仁岸川</v>
          </cell>
          <cell r="AQ864" t="str">
            <v/>
          </cell>
          <cell r="AR864" t="str">
            <v>オキシディションディッチ法</v>
          </cell>
          <cell r="AS864" t="str">
            <v>1720402003</v>
          </cell>
          <cell r="AT864" t="str">
            <v/>
          </cell>
          <cell r="AU864" t="str">
            <v>10</v>
          </cell>
          <cell r="AV864" t="str">
            <v>10</v>
          </cell>
          <cell r="AW864">
            <v>0</v>
          </cell>
          <cell r="AX864">
            <v>0</v>
          </cell>
          <cell r="AY864">
            <v>0</v>
          </cell>
          <cell r="AZ864">
            <v>0</v>
          </cell>
          <cell r="BA864">
            <v>0</v>
          </cell>
          <cell r="BD864" t="str">
            <v/>
          </cell>
          <cell r="BE864">
            <v>1</v>
          </cell>
          <cell r="BG864" t="str">
            <v>1100</v>
          </cell>
        </row>
        <row r="865">
          <cell r="B865" t="str">
            <v>G172050106100100</v>
          </cell>
          <cell r="C865" t="str">
            <v>17.石川県</v>
          </cell>
          <cell r="D865" t="str">
            <v>205</v>
          </cell>
          <cell r="E865" t="str">
            <v>珠洲市</v>
          </cell>
          <cell r="F865" t="str">
            <v>01</v>
          </cell>
          <cell r="G865" t="str">
            <v>公共 単独</v>
          </cell>
          <cell r="H865" t="str">
            <v>公共下水道</v>
          </cell>
          <cell r="I865" t="str">
            <v>単独</v>
          </cell>
          <cell r="J865" t="str">
            <v>001</v>
          </cell>
          <cell r="K865" t="str">
            <v>珠洲市浄化センター</v>
          </cell>
          <cell r="M865" t="str">
            <v>1</v>
          </cell>
          <cell r="N865" t="str">
            <v>1</v>
          </cell>
          <cell r="O865" t="str">
            <v>1</v>
          </cell>
          <cell r="Q865">
            <v>33543</v>
          </cell>
          <cell r="R865" t="str">
            <v>平成</v>
          </cell>
          <cell r="S865">
            <v>3</v>
          </cell>
          <cell r="T865">
            <v>11</v>
          </cell>
          <cell r="AB865">
            <v>26100</v>
          </cell>
          <cell r="AC865" t="str">
            <v>能登半島沿岸海域</v>
          </cell>
          <cell r="AD865" t="str">
            <v>Ａ</v>
          </cell>
          <cell r="AE865" t="str">
            <v>イ</v>
          </cell>
          <cell r="AF865">
            <v>15</v>
          </cell>
          <cell r="AJ865" t="str">
            <v>金川</v>
          </cell>
          <cell r="AQ865" t="str">
            <v/>
          </cell>
          <cell r="AR865" t="str">
            <v>オキシディションディッチ法</v>
          </cell>
          <cell r="AS865" t="str">
            <v>1720501001</v>
          </cell>
          <cell r="AT865" t="str">
            <v/>
          </cell>
          <cell r="AU865" t="str">
            <v>11</v>
          </cell>
          <cell r="AV865" t="str">
            <v>11</v>
          </cell>
          <cell r="AW865">
            <v>0</v>
          </cell>
          <cell r="AX865">
            <v>0</v>
          </cell>
          <cell r="AY865">
            <v>0</v>
          </cell>
          <cell r="AZ865">
            <v>0</v>
          </cell>
          <cell r="BA865">
            <v>0</v>
          </cell>
          <cell r="BD865" t="str">
            <v/>
          </cell>
          <cell r="BE865">
            <v>1</v>
          </cell>
          <cell r="BG865" t="str">
            <v>1110</v>
          </cell>
        </row>
        <row r="866">
          <cell r="B866" t="str">
            <v>G172050106100200</v>
          </cell>
          <cell r="C866" t="str">
            <v>17.石川県</v>
          </cell>
          <cell r="D866" t="str">
            <v>205</v>
          </cell>
          <cell r="E866" t="str">
            <v>珠洲市</v>
          </cell>
          <cell r="F866" t="str">
            <v>01</v>
          </cell>
          <cell r="G866" t="str">
            <v>公共 単独</v>
          </cell>
          <cell r="H866" t="str">
            <v>公共下水道</v>
          </cell>
          <cell r="I866" t="str">
            <v>単独</v>
          </cell>
          <cell r="J866" t="str">
            <v>002</v>
          </cell>
          <cell r="K866" t="str">
            <v>宝立浄化センター</v>
          </cell>
          <cell r="M866" t="str">
            <v>1</v>
          </cell>
          <cell r="N866" t="str">
            <v>1</v>
          </cell>
          <cell r="Q866">
            <v>38322</v>
          </cell>
          <cell r="R866" t="str">
            <v>平成</v>
          </cell>
          <cell r="S866">
            <v>16</v>
          </cell>
          <cell r="T866">
            <v>12</v>
          </cell>
          <cell r="AB866">
            <v>4400</v>
          </cell>
          <cell r="AC866" t="str">
            <v>能登半島沿岸海域</v>
          </cell>
          <cell r="AD866" t="str">
            <v>Ａ</v>
          </cell>
          <cell r="AE866" t="str">
            <v>イ</v>
          </cell>
          <cell r="AF866">
            <v>15</v>
          </cell>
          <cell r="AJ866" t="str">
            <v>鵜飼川</v>
          </cell>
          <cell r="AL866" t="str">
            <v>宝立浄水場取水口</v>
          </cell>
          <cell r="AM866">
            <v>2</v>
          </cell>
          <cell r="AQ866" t="str">
            <v/>
          </cell>
          <cell r="AR866" t="str">
            <v>オキシディションディッチ法</v>
          </cell>
          <cell r="AS866" t="str">
            <v>1720501002</v>
          </cell>
          <cell r="AT866" t="str">
            <v/>
          </cell>
          <cell r="AU866" t="str">
            <v>10</v>
          </cell>
          <cell r="AV866" t="str">
            <v>10</v>
          </cell>
          <cell r="AW866">
            <v>0</v>
          </cell>
          <cell r="AX866">
            <v>0</v>
          </cell>
          <cell r="AY866">
            <v>0</v>
          </cell>
          <cell r="AZ866">
            <v>0</v>
          </cell>
          <cell r="BA866">
            <v>0</v>
          </cell>
          <cell r="BD866" t="str">
            <v/>
          </cell>
          <cell r="BE866">
            <v>1</v>
          </cell>
          <cell r="BG866" t="str">
            <v>1100</v>
          </cell>
        </row>
        <row r="867">
          <cell r="B867" t="str">
            <v>G172060106100100</v>
          </cell>
          <cell r="C867" t="str">
            <v>17.石川県</v>
          </cell>
          <cell r="D867" t="str">
            <v>206</v>
          </cell>
          <cell r="E867" t="str">
            <v>加賀市</v>
          </cell>
          <cell r="F867" t="str">
            <v>01</v>
          </cell>
          <cell r="G867" t="str">
            <v>公共 単独</v>
          </cell>
          <cell r="H867" t="str">
            <v>公共下水道</v>
          </cell>
          <cell r="I867" t="str">
            <v>単独</v>
          </cell>
          <cell r="J867" t="str">
            <v>001</v>
          </cell>
          <cell r="K867" t="str">
            <v>加賀市浄化センター</v>
          </cell>
          <cell r="M867" t="str">
            <v>1</v>
          </cell>
          <cell r="N867" t="str">
            <v>1</v>
          </cell>
          <cell r="P867" t="str">
            <v>1</v>
          </cell>
          <cell r="Q867">
            <v>27668</v>
          </cell>
          <cell r="R867" t="str">
            <v>昭和</v>
          </cell>
          <cell r="S867">
            <v>50</v>
          </cell>
          <cell r="T867">
            <v>10</v>
          </cell>
          <cell r="AB867">
            <v>26200</v>
          </cell>
          <cell r="AC867" t="str">
            <v>新堀川</v>
          </cell>
          <cell r="AD867" t="str">
            <v>Ａ</v>
          </cell>
          <cell r="AE867" t="str">
            <v>ハ</v>
          </cell>
          <cell r="AJ867" t="str">
            <v>新堀川</v>
          </cell>
          <cell r="AQ867" t="str">
            <v/>
          </cell>
          <cell r="AR867" t="str">
            <v>標準活性汚泥法</v>
          </cell>
          <cell r="AS867" t="str">
            <v>1720601001</v>
          </cell>
          <cell r="AT867" t="str">
            <v/>
          </cell>
          <cell r="AU867" t="str">
            <v>10</v>
          </cell>
          <cell r="AV867" t="str">
            <v>10</v>
          </cell>
          <cell r="AW867">
            <v>1</v>
          </cell>
          <cell r="AX867">
            <v>0</v>
          </cell>
          <cell r="AY867">
            <v>0</v>
          </cell>
          <cell r="AZ867">
            <v>0</v>
          </cell>
          <cell r="BA867">
            <v>0</v>
          </cell>
          <cell r="BD867" t="str">
            <v/>
          </cell>
          <cell r="BE867">
            <v>1</v>
          </cell>
          <cell r="BG867" t="str">
            <v>1101</v>
          </cell>
        </row>
        <row r="868">
          <cell r="B868" t="str">
            <v>G172070106100100</v>
          </cell>
          <cell r="C868" t="str">
            <v>17.石川県</v>
          </cell>
          <cell r="D868" t="str">
            <v>207</v>
          </cell>
          <cell r="E868" t="str">
            <v>羽咋市</v>
          </cell>
          <cell r="F868" t="str">
            <v>01</v>
          </cell>
          <cell r="G868" t="str">
            <v>公共 単独</v>
          </cell>
          <cell r="H868" t="str">
            <v>公共下水道</v>
          </cell>
          <cell r="I868" t="str">
            <v>単独</v>
          </cell>
          <cell r="J868" t="str">
            <v>001</v>
          </cell>
          <cell r="K868" t="str">
            <v>羽咋浄化センター</v>
          </cell>
          <cell r="M868" t="str">
            <v>1</v>
          </cell>
          <cell r="N868" t="str">
            <v>1</v>
          </cell>
          <cell r="Q868">
            <v>34029</v>
          </cell>
          <cell r="R868" t="str">
            <v>平成</v>
          </cell>
          <cell r="S868">
            <v>5</v>
          </cell>
          <cell r="T868">
            <v>3</v>
          </cell>
          <cell r="AB868">
            <v>21600</v>
          </cell>
          <cell r="AC868" t="str">
            <v>羽咋川</v>
          </cell>
          <cell r="AD868" t="str">
            <v>Ｃ</v>
          </cell>
          <cell r="AE868" t="str">
            <v>イ</v>
          </cell>
          <cell r="AF868">
            <v>15</v>
          </cell>
          <cell r="AJ868" t="str">
            <v>羽咋川</v>
          </cell>
          <cell r="AQ868" t="str">
            <v/>
          </cell>
          <cell r="AR868" t="str">
            <v>オキシディションディッチ法</v>
          </cell>
          <cell r="AS868" t="str">
            <v>1720701001</v>
          </cell>
          <cell r="AT868" t="str">
            <v/>
          </cell>
          <cell r="AU868" t="str">
            <v>10</v>
          </cell>
          <cell r="AV868" t="str">
            <v>10</v>
          </cell>
          <cell r="AW868">
            <v>0</v>
          </cell>
          <cell r="AX868">
            <v>0</v>
          </cell>
          <cell r="AY868">
            <v>0</v>
          </cell>
          <cell r="AZ868">
            <v>0</v>
          </cell>
          <cell r="BA868">
            <v>0</v>
          </cell>
          <cell r="BD868" t="str">
            <v/>
          </cell>
          <cell r="BE868">
            <v>1</v>
          </cell>
          <cell r="BG868" t="str">
            <v>1100</v>
          </cell>
        </row>
        <row r="869">
          <cell r="B869" t="str">
            <v>G172070206100200</v>
          </cell>
          <cell r="C869" t="str">
            <v>17.石川県</v>
          </cell>
          <cell r="D869" t="str">
            <v>207</v>
          </cell>
          <cell r="E869" t="str">
            <v>羽咋市</v>
          </cell>
          <cell r="F869" t="str">
            <v>02</v>
          </cell>
          <cell r="G869" t="str">
            <v>特環 単独</v>
          </cell>
          <cell r="H869" t="str">
            <v>特定環境保全公共下水道</v>
          </cell>
          <cell r="I869" t="str">
            <v>単独</v>
          </cell>
          <cell r="J869" t="str">
            <v>002</v>
          </cell>
          <cell r="K869" t="str">
            <v>酒井浄化センター</v>
          </cell>
          <cell r="M869" t="str">
            <v>1</v>
          </cell>
          <cell r="Q869">
            <v>37681</v>
          </cell>
          <cell r="R869" t="str">
            <v>平成</v>
          </cell>
          <cell r="S869">
            <v>15</v>
          </cell>
          <cell r="T869">
            <v>3</v>
          </cell>
          <cell r="AB869">
            <v>5058</v>
          </cell>
          <cell r="AC869" t="str">
            <v>酒井川</v>
          </cell>
          <cell r="AD869" t="str">
            <v>Ｃ</v>
          </cell>
          <cell r="AE869" t="str">
            <v>イ</v>
          </cell>
          <cell r="AF869">
            <v>15</v>
          </cell>
          <cell r="AJ869" t="str">
            <v>酒井川</v>
          </cell>
          <cell r="AQ869" t="str">
            <v/>
          </cell>
          <cell r="AR869" t="str">
            <v>嫌気好気ろ床法</v>
          </cell>
          <cell r="AS869" t="str">
            <v>1720702002</v>
          </cell>
          <cell r="AT869" t="str">
            <v/>
          </cell>
          <cell r="AU869" t="str">
            <v>00</v>
          </cell>
          <cell r="AV869" t="str">
            <v>00</v>
          </cell>
          <cell r="AW869">
            <v>0</v>
          </cell>
          <cell r="AX869">
            <v>0</v>
          </cell>
          <cell r="AY869">
            <v>0</v>
          </cell>
          <cell r="AZ869">
            <v>0</v>
          </cell>
          <cell r="BA869">
            <v>0</v>
          </cell>
          <cell r="BD869" t="str">
            <v/>
          </cell>
          <cell r="BE869">
            <v>1</v>
          </cell>
          <cell r="BG869" t="str">
            <v>1000</v>
          </cell>
        </row>
        <row r="870">
          <cell r="B870" t="str">
            <v>G172090106100100</v>
          </cell>
          <cell r="C870" t="str">
            <v>17.石川県</v>
          </cell>
          <cell r="D870" t="str">
            <v>209</v>
          </cell>
          <cell r="E870" t="str">
            <v>かほく市</v>
          </cell>
          <cell r="F870" t="str">
            <v>01</v>
          </cell>
          <cell r="G870" t="str">
            <v>公共 単独</v>
          </cell>
          <cell r="H870" t="str">
            <v>公共下水道</v>
          </cell>
          <cell r="I870" t="str">
            <v>単独</v>
          </cell>
          <cell r="J870" t="str">
            <v>001</v>
          </cell>
          <cell r="K870" t="str">
            <v>かほく市北部浄化センター</v>
          </cell>
          <cell r="M870" t="str">
            <v>1</v>
          </cell>
          <cell r="N870" t="str">
            <v>1</v>
          </cell>
          <cell r="Q870">
            <v>33147</v>
          </cell>
          <cell r="R870" t="str">
            <v>平成</v>
          </cell>
          <cell r="S870">
            <v>2</v>
          </cell>
          <cell r="T870">
            <v>10</v>
          </cell>
          <cell r="AB870">
            <v>49500</v>
          </cell>
          <cell r="AC870" t="str">
            <v>日本海河北沿岸海域</v>
          </cell>
          <cell r="AD870" t="str">
            <v>Ａ</v>
          </cell>
          <cell r="AE870" t="str">
            <v>イ</v>
          </cell>
          <cell r="AF870">
            <v>15</v>
          </cell>
          <cell r="AI870" t="str">
            <v>日本海河北沿岸海域</v>
          </cell>
          <cell r="AQ870" t="str">
            <v/>
          </cell>
          <cell r="AR870" t="str">
            <v>オキシディションディッチ法</v>
          </cell>
          <cell r="AS870" t="str">
            <v>1720901001</v>
          </cell>
          <cell r="AT870" t="str">
            <v/>
          </cell>
          <cell r="AU870" t="str">
            <v>10</v>
          </cell>
          <cell r="AV870" t="str">
            <v>10</v>
          </cell>
          <cell r="AW870">
            <v>0</v>
          </cell>
          <cell r="AX870">
            <v>0</v>
          </cell>
          <cell r="AY870">
            <v>0</v>
          </cell>
          <cell r="AZ870">
            <v>0</v>
          </cell>
          <cell r="BA870">
            <v>0</v>
          </cell>
          <cell r="BD870" t="str">
            <v/>
          </cell>
          <cell r="BE870">
            <v>1</v>
          </cell>
          <cell r="BG870" t="str">
            <v>1100</v>
          </cell>
        </row>
        <row r="871">
          <cell r="B871" t="str">
            <v>G172090106100200</v>
          </cell>
          <cell r="C871" t="str">
            <v>17.石川県</v>
          </cell>
          <cell r="D871" t="str">
            <v>209</v>
          </cell>
          <cell r="E871" t="str">
            <v>かほく市</v>
          </cell>
          <cell r="F871" t="str">
            <v>01</v>
          </cell>
          <cell r="G871" t="str">
            <v>公共 単独</v>
          </cell>
          <cell r="H871" t="str">
            <v>公共下水道</v>
          </cell>
          <cell r="I871" t="str">
            <v>単独</v>
          </cell>
          <cell r="J871" t="str">
            <v>002</v>
          </cell>
          <cell r="K871" t="str">
            <v>かほく市南部浄化センター</v>
          </cell>
          <cell r="M871" t="str">
            <v>1</v>
          </cell>
          <cell r="N871" t="str">
            <v>1</v>
          </cell>
          <cell r="Q871">
            <v>33329</v>
          </cell>
          <cell r="R871" t="str">
            <v>平成</v>
          </cell>
          <cell r="S871">
            <v>3</v>
          </cell>
          <cell r="T871">
            <v>4</v>
          </cell>
          <cell r="AB871">
            <v>65700</v>
          </cell>
          <cell r="AC871" t="str">
            <v>日本海河北沿岸海域</v>
          </cell>
          <cell r="AD871" t="str">
            <v>Ａ</v>
          </cell>
          <cell r="AE871" t="str">
            <v>イ</v>
          </cell>
          <cell r="AF871">
            <v>15</v>
          </cell>
          <cell r="AI871" t="str">
            <v>日本海河北沿岸海域</v>
          </cell>
          <cell r="AQ871" t="str">
            <v/>
          </cell>
          <cell r="AR871" t="str">
            <v>オキシディションディッチ法</v>
          </cell>
          <cell r="AS871" t="str">
            <v>1720901002</v>
          </cell>
          <cell r="AT871" t="str">
            <v/>
          </cell>
          <cell r="AU871" t="str">
            <v>10</v>
          </cell>
          <cell r="AV871" t="str">
            <v>10</v>
          </cell>
          <cell r="AW871">
            <v>0</v>
          </cell>
          <cell r="AX871">
            <v>0</v>
          </cell>
          <cell r="AY871">
            <v>0</v>
          </cell>
          <cell r="AZ871">
            <v>0</v>
          </cell>
          <cell r="BA871">
            <v>0</v>
          </cell>
          <cell r="BD871" t="str">
            <v/>
          </cell>
          <cell r="BE871">
            <v>1</v>
          </cell>
          <cell r="BG871" t="str">
            <v>1100</v>
          </cell>
        </row>
        <row r="872">
          <cell r="B872" t="str">
            <v>G172100106100100</v>
          </cell>
          <cell r="C872" t="str">
            <v>17.石川県</v>
          </cell>
          <cell r="D872" t="str">
            <v>210</v>
          </cell>
          <cell r="E872" t="str">
            <v>白山市</v>
          </cell>
          <cell r="F872" t="str">
            <v>01</v>
          </cell>
          <cell r="G872" t="str">
            <v>公共 単独</v>
          </cell>
          <cell r="H872" t="str">
            <v>公共下水道</v>
          </cell>
          <cell r="I872" t="str">
            <v>単独</v>
          </cell>
          <cell r="J872" t="str">
            <v>001</v>
          </cell>
          <cell r="K872" t="str">
            <v>千代野処理場</v>
          </cell>
          <cell r="M872" t="str">
            <v>1</v>
          </cell>
          <cell r="N872" t="str">
            <v>1</v>
          </cell>
          <cell r="Q872">
            <v>28734</v>
          </cell>
          <cell r="R872" t="str">
            <v>昭和</v>
          </cell>
          <cell r="S872">
            <v>53</v>
          </cell>
          <cell r="T872">
            <v>9</v>
          </cell>
          <cell r="AB872">
            <v>5500</v>
          </cell>
          <cell r="AC872" t="str">
            <v>加賀沿岸海域</v>
          </cell>
          <cell r="AD872" t="str">
            <v>Ａ</v>
          </cell>
          <cell r="AE872" t="str">
            <v>イ</v>
          </cell>
          <cell r="AF872">
            <v>15</v>
          </cell>
          <cell r="AI872" t="str">
            <v>徳光都市下水路</v>
          </cell>
          <cell r="AQ872" t="str">
            <v/>
          </cell>
          <cell r="AR872" t="str">
            <v>標準活性汚泥法</v>
          </cell>
          <cell r="AS872" t="str">
            <v>1721001001</v>
          </cell>
          <cell r="AT872" t="str">
            <v/>
          </cell>
          <cell r="AU872" t="str">
            <v>10</v>
          </cell>
          <cell r="AV872" t="str">
            <v>10</v>
          </cell>
          <cell r="AW872">
            <v>0</v>
          </cell>
          <cell r="AX872">
            <v>0</v>
          </cell>
          <cell r="AY872">
            <v>0</v>
          </cell>
          <cell r="AZ872">
            <v>0</v>
          </cell>
          <cell r="BA872">
            <v>0</v>
          </cell>
          <cell r="BD872" t="str">
            <v/>
          </cell>
          <cell r="BE872">
            <v>1</v>
          </cell>
          <cell r="BG872" t="str">
            <v>1100</v>
          </cell>
        </row>
        <row r="873">
          <cell r="B873" t="str">
            <v>G172100106100200</v>
          </cell>
          <cell r="C873" t="str">
            <v>17.石川県</v>
          </cell>
          <cell r="D873" t="str">
            <v>210</v>
          </cell>
          <cell r="E873" t="str">
            <v>白山市</v>
          </cell>
          <cell r="F873" t="str">
            <v>01</v>
          </cell>
          <cell r="G873" t="str">
            <v>公共 単独</v>
          </cell>
          <cell r="H873" t="str">
            <v>公共下水道</v>
          </cell>
          <cell r="I873" t="str">
            <v>単独</v>
          </cell>
          <cell r="J873" t="str">
            <v>002</v>
          </cell>
          <cell r="K873" t="str">
            <v>松任中央浄化センター</v>
          </cell>
          <cell r="M873" t="str">
            <v>1</v>
          </cell>
          <cell r="N873" t="str">
            <v>1</v>
          </cell>
          <cell r="Q873">
            <v>31138</v>
          </cell>
          <cell r="R873" t="str">
            <v>昭和</v>
          </cell>
          <cell r="S873">
            <v>60</v>
          </cell>
          <cell r="T873">
            <v>4</v>
          </cell>
          <cell r="AB873">
            <v>45900</v>
          </cell>
          <cell r="AC873" t="str">
            <v>加賀沿岸海域</v>
          </cell>
          <cell r="AD873" t="str">
            <v>Ａ</v>
          </cell>
          <cell r="AE873" t="str">
            <v>イ</v>
          </cell>
          <cell r="AF873">
            <v>15</v>
          </cell>
          <cell r="AJ873" t="str">
            <v>倉部川</v>
          </cell>
          <cell r="AQ873" t="str">
            <v/>
          </cell>
          <cell r="AR873" t="str">
            <v>標準活性汚泥法</v>
          </cell>
          <cell r="AS873" t="str">
            <v>1721001002</v>
          </cell>
          <cell r="AT873" t="str">
            <v/>
          </cell>
          <cell r="AU873" t="str">
            <v>10</v>
          </cell>
          <cell r="AV873" t="str">
            <v>10</v>
          </cell>
          <cell r="AW873">
            <v>0</v>
          </cell>
          <cell r="AX873">
            <v>0</v>
          </cell>
          <cell r="AY873">
            <v>0</v>
          </cell>
          <cell r="AZ873">
            <v>0</v>
          </cell>
          <cell r="BA873">
            <v>0</v>
          </cell>
          <cell r="BD873" t="str">
            <v/>
          </cell>
          <cell r="BE873">
            <v>1</v>
          </cell>
          <cell r="BG873" t="str">
            <v>1100</v>
          </cell>
        </row>
        <row r="874">
          <cell r="B874" t="str">
            <v>G172100106100300</v>
          </cell>
          <cell r="C874" t="str">
            <v>17.石川県</v>
          </cell>
          <cell r="D874" t="str">
            <v>210</v>
          </cell>
          <cell r="E874" t="str">
            <v>白山市</v>
          </cell>
          <cell r="F874" t="str">
            <v>01</v>
          </cell>
          <cell r="G874" t="str">
            <v>公共 単独</v>
          </cell>
          <cell r="H874" t="str">
            <v>公共下水道</v>
          </cell>
          <cell r="I874" t="str">
            <v>単独</v>
          </cell>
          <cell r="J874" t="str">
            <v>003</v>
          </cell>
          <cell r="K874" t="str">
            <v>松任南部浄化センター</v>
          </cell>
          <cell r="M874" t="str">
            <v>1</v>
          </cell>
          <cell r="N874" t="str">
            <v>1</v>
          </cell>
          <cell r="P874" t="str">
            <v>1</v>
          </cell>
          <cell r="Q874">
            <v>34304</v>
          </cell>
          <cell r="R874" t="str">
            <v>平成</v>
          </cell>
          <cell r="S874">
            <v>5</v>
          </cell>
          <cell r="T874">
            <v>12</v>
          </cell>
          <cell r="AB874">
            <v>10700</v>
          </cell>
          <cell r="AC874" t="str">
            <v>加賀沿岸海域</v>
          </cell>
          <cell r="AD874" t="str">
            <v>Ａ</v>
          </cell>
          <cell r="AE874" t="str">
            <v>イ</v>
          </cell>
          <cell r="AF874">
            <v>15</v>
          </cell>
          <cell r="AI874" t="str">
            <v>手取川七ヶ用水</v>
          </cell>
          <cell r="AQ874" t="str">
            <v/>
          </cell>
          <cell r="AR874" t="str">
            <v>オキシディションディッチ法</v>
          </cell>
          <cell r="AS874" t="str">
            <v>1721001003</v>
          </cell>
          <cell r="AT874" t="str">
            <v/>
          </cell>
          <cell r="AU874" t="str">
            <v>10</v>
          </cell>
          <cell r="AV874" t="str">
            <v>10</v>
          </cell>
          <cell r="AW874">
            <v>1</v>
          </cell>
          <cell r="AX874">
            <v>0</v>
          </cell>
          <cell r="AY874">
            <v>0</v>
          </cell>
          <cell r="AZ874">
            <v>0</v>
          </cell>
          <cell r="BA874">
            <v>0</v>
          </cell>
          <cell r="BD874" t="str">
            <v/>
          </cell>
          <cell r="BE874">
            <v>1</v>
          </cell>
          <cell r="BG874" t="str">
            <v>1101</v>
          </cell>
        </row>
        <row r="875">
          <cell r="B875" t="str">
            <v>G172100106100400</v>
          </cell>
          <cell r="C875" t="str">
            <v>17.石川県</v>
          </cell>
          <cell r="D875" t="str">
            <v>210</v>
          </cell>
          <cell r="E875" t="str">
            <v>白山市</v>
          </cell>
          <cell r="F875" t="str">
            <v>01</v>
          </cell>
          <cell r="G875" t="str">
            <v>公共 単独</v>
          </cell>
          <cell r="H875" t="str">
            <v>公共下水道</v>
          </cell>
          <cell r="I875" t="str">
            <v>単独</v>
          </cell>
          <cell r="J875" t="str">
            <v>004</v>
          </cell>
          <cell r="K875" t="str">
            <v>松任西南部浄化センター</v>
          </cell>
          <cell r="M875" t="str">
            <v>1</v>
          </cell>
          <cell r="N875" t="str">
            <v>1</v>
          </cell>
          <cell r="Q875">
            <v>36982</v>
          </cell>
          <cell r="R875" t="str">
            <v>平成</v>
          </cell>
          <cell r="S875">
            <v>13</v>
          </cell>
          <cell r="T875">
            <v>4</v>
          </cell>
          <cell r="AB875">
            <v>22400</v>
          </cell>
          <cell r="AC875" t="str">
            <v>加賀沿岸海域</v>
          </cell>
          <cell r="AD875" t="str">
            <v>Ａ</v>
          </cell>
          <cell r="AE875" t="str">
            <v>イ</v>
          </cell>
          <cell r="AF875">
            <v>15</v>
          </cell>
          <cell r="AJ875" t="str">
            <v>大慶寺川</v>
          </cell>
          <cell r="AQ875" t="str">
            <v/>
          </cell>
          <cell r="AR875" t="str">
            <v>オキシディションディッチ法</v>
          </cell>
          <cell r="AS875" t="str">
            <v>1721001004</v>
          </cell>
          <cell r="AT875" t="str">
            <v/>
          </cell>
          <cell r="AU875" t="str">
            <v>10</v>
          </cell>
          <cell r="AV875" t="str">
            <v>10</v>
          </cell>
          <cell r="AW875">
            <v>0</v>
          </cell>
          <cell r="AX875">
            <v>0</v>
          </cell>
          <cell r="AY875">
            <v>0</v>
          </cell>
          <cell r="AZ875">
            <v>0</v>
          </cell>
          <cell r="BA875">
            <v>0</v>
          </cell>
          <cell r="BD875" t="str">
            <v/>
          </cell>
          <cell r="BE875">
            <v>1</v>
          </cell>
          <cell r="BG875" t="str">
            <v>1100</v>
          </cell>
        </row>
        <row r="876">
          <cell r="B876" t="str">
            <v>G172100106100500</v>
          </cell>
          <cell r="C876" t="str">
            <v>17.石川県</v>
          </cell>
          <cell r="D876" t="str">
            <v>210</v>
          </cell>
          <cell r="E876" t="str">
            <v>白山市</v>
          </cell>
          <cell r="F876" t="str">
            <v>01</v>
          </cell>
          <cell r="G876" t="str">
            <v>公共 単独</v>
          </cell>
          <cell r="H876" t="str">
            <v>公共下水道</v>
          </cell>
          <cell r="I876" t="str">
            <v>単独</v>
          </cell>
          <cell r="J876" t="str">
            <v>005</v>
          </cell>
          <cell r="K876" t="str">
            <v>鶴来浄化センター</v>
          </cell>
          <cell r="M876" t="str">
            <v>1</v>
          </cell>
          <cell r="N876" t="str">
            <v>1</v>
          </cell>
          <cell r="Q876">
            <v>32203</v>
          </cell>
          <cell r="R876" t="str">
            <v>昭和</v>
          </cell>
          <cell r="S876">
            <v>63</v>
          </cell>
          <cell r="T876">
            <v>3</v>
          </cell>
          <cell r="AB876">
            <v>22270</v>
          </cell>
          <cell r="AC876" t="str">
            <v>手取川中流河川</v>
          </cell>
          <cell r="AD876" t="str">
            <v>Ａ</v>
          </cell>
          <cell r="AE876" t="str">
            <v>イ</v>
          </cell>
          <cell r="AF876">
            <v>15</v>
          </cell>
          <cell r="AJ876" t="str">
            <v>高橋川放水路</v>
          </cell>
          <cell r="AL876" t="str">
            <v>鶴来浄水場取水口</v>
          </cell>
          <cell r="AM876">
            <v>4.8</v>
          </cell>
          <cell r="AO876" t="str">
            <v>金沢市他11市町</v>
          </cell>
          <cell r="AQ876" t="str">
            <v/>
          </cell>
          <cell r="AR876" t="str">
            <v>オキシディションディッチ法</v>
          </cell>
          <cell r="AS876" t="str">
            <v>1721001005</v>
          </cell>
          <cell r="AT876" t="str">
            <v/>
          </cell>
          <cell r="AU876" t="str">
            <v>10</v>
          </cell>
          <cell r="AV876" t="str">
            <v>10</v>
          </cell>
          <cell r="AW876">
            <v>0</v>
          </cell>
          <cell r="AX876">
            <v>0</v>
          </cell>
          <cell r="AY876">
            <v>0</v>
          </cell>
          <cell r="AZ876">
            <v>0</v>
          </cell>
          <cell r="BA876">
            <v>0</v>
          </cell>
          <cell r="BD876" t="str">
            <v/>
          </cell>
          <cell r="BE876">
            <v>1</v>
          </cell>
          <cell r="BG876" t="str">
            <v>1100</v>
          </cell>
        </row>
        <row r="877">
          <cell r="B877" t="str">
            <v>G172100206100600</v>
          </cell>
          <cell r="C877" t="str">
            <v>17.石川県</v>
          </cell>
          <cell r="D877" t="str">
            <v>210</v>
          </cell>
          <cell r="E877" t="str">
            <v>白山市</v>
          </cell>
          <cell r="F877" t="str">
            <v>02</v>
          </cell>
          <cell r="G877" t="str">
            <v>特環 単独</v>
          </cell>
          <cell r="H877" t="str">
            <v>特定環境保全公共下水道</v>
          </cell>
          <cell r="I877" t="str">
            <v>単独</v>
          </cell>
          <cell r="J877" t="str">
            <v>006</v>
          </cell>
          <cell r="K877" t="str">
            <v>直海谷終末処理場</v>
          </cell>
          <cell r="M877" t="str">
            <v>1</v>
          </cell>
          <cell r="N877" t="str">
            <v>1</v>
          </cell>
          <cell r="Q877">
            <v>37681</v>
          </cell>
          <cell r="R877" t="str">
            <v>平成</v>
          </cell>
          <cell r="S877">
            <v>15</v>
          </cell>
          <cell r="T877">
            <v>3</v>
          </cell>
          <cell r="AB877">
            <v>842</v>
          </cell>
          <cell r="AC877" t="str">
            <v>手取川中流河川</v>
          </cell>
          <cell r="AD877" t="str">
            <v>Ａ</v>
          </cell>
          <cell r="AE877" t="str">
            <v>イ</v>
          </cell>
          <cell r="AF877">
            <v>15</v>
          </cell>
          <cell r="AK877" t="str">
            <v>手取川</v>
          </cell>
          <cell r="AL877" t="str">
            <v>石川県浄水場</v>
          </cell>
          <cell r="AN877">
            <v>0.8</v>
          </cell>
          <cell r="AO877" t="str">
            <v>金沢市他１１市町</v>
          </cell>
          <cell r="AQ877" t="str">
            <v/>
          </cell>
          <cell r="AR877" t="str">
            <v>オキシディションディッチ法</v>
          </cell>
          <cell r="AS877" t="str">
            <v>1721002006</v>
          </cell>
          <cell r="AT877" t="str">
            <v/>
          </cell>
          <cell r="AU877" t="str">
            <v>10</v>
          </cell>
          <cell r="AV877" t="str">
            <v>10</v>
          </cell>
          <cell r="AW877">
            <v>0</v>
          </cell>
          <cell r="AX877">
            <v>0</v>
          </cell>
          <cell r="AY877">
            <v>0</v>
          </cell>
          <cell r="AZ877">
            <v>0</v>
          </cell>
          <cell r="BA877">
            <v>0</v>
          </cell>
          <cell r="BD877" t="str">
            <v/>
          </cell>
          <cell r="BE877">
            <v>1</v>
          </cell>
          <cell r="BG877" t="str">
            <v>1100</v>
          </cell>
        </row>
        <row r="878">
          <cell r="B878" t="str">
            <v>G172100206100700</v>
          </cell>
          <cell r="C878" t="str">
            <v>17.石川県</v>
          </cell>
          <cell r="D878" t="str">
            <v>210</v>
          </cell>
          <cell r="E878" t="str">
            <v>白山市</v>
          </cell>
          <cell r="F878" t="str">
            <v>02</v>
          </cell>
          <cell r="G878" t="str">
            <v>特環 単独</v>
          </cell>
          <cell r="H878" t="str">
            <v>特定環境保全公共下水道</v>
          </cell>
          <cell r="I878" t="str">
            <v>単独</v>
          </cell>
          <cell r="J878" t="str">
            <v>007</v>
          </cell>
          <cell r="K878" t="str">
            <v>吉原終末処理場</v>
          </cell>
          <cell r="M878" t="str">
            <v>1</v>
          </cell>
          <cell r="N878" t="str">
            <v>1</v>
          </cell>
          <cell r="Q878">
            <v>33695</v>
          </cell>
          <cell r="R878" t="str">
            <v>平成</v>
          </cell>
          <cell r="S878">
            <v>4</v>
          </cell>
          <cell r="T878">
            <v>4</v>
          </cell>
          <cell r="AB878">
            <v>1230</v>
          </cell>
          <cell r="AC878" t="str">
            <v>手取川中流河川</v>
          </cell>
          <cell r="AD878" t="str">
            <v>Ａ</v>
          </cell>
          <cell r="AE878" t="str">
            <v>イ</v>
          </cell>
          <cell r="AF878">
            <v>15</v>
          </cell>
          <cell r="AK878" t="str">
            <v>手取川</v>
          </cell>
          <cell r="AL878" t="str">
            <v>鶴来浄水場取水口</v>
          </cell>
          <cell r="AN878">
            <v>11</v>
          </cell>
          <cell r="AO878" t="str">
            <v>金沢市他１１市町</v>
          </cell>
          <cell r="AQ878" t="str">
            <v/>
          </cell>
          <cell r="AR878" t="str">
            <v>オキシディションディッチ法</v>
          </cell>
          <cell r="AS878" t="str">
            <v>1721002007</v>
          </cell>
          <cell r="AT878" t="str">
            <v/>
          </cell>
          <cell r="AU878" t="str">
            <v>10</v>
          </cell>
          <cell r="AV878" t="str">
            <v>10</v>
          </cell>
          <cell r="AW878">
            <v>0</v>
          </cell>
          <cell r="AX878">
            <v>0</v>
          </cell>
          <cell r="AY878">
            <v>0</v>
          </cell>
          <cell r="AZ878">
            <v>0</v>
          </cell>
          <cell r="BA878">
            <v>0</v>
          </cell>
          <cell r="BD878" t="str">
            <v/>
          </cell>
          <cell r="BE878">
            <v>1</v>
          </cell>
          <cell r="BG878" t="str">
            <v>1100</v>
          </cell>
        </row>
        <row r="879">
          <cell r="B879" t="str">
            <v>G172100206100800</v>
          </cell>
          <cell r="C879" t="str">
            <v>17.石川県</v>
          </cell>
          <cell r="D879" t="str">
            <v>210</v>
          </cell>
          <cell r="E879" t="str">
            <v>白山市</v>
          </cell>
          <cell r="F879" t="str">
            <v>02</v>
          </cell>
          <cell r="G879" t="str">
            <v>特環 単独</v>
          </cell>
          <cell r="H879" t="str">
            <v>特定環境保全公共下水道</v>
          </cell>
          <cell r="I879" t="str">
            <v>単独</v>
          </cell>
          <cell r="J879" t="str">
            <v>008</v>
          </cell>
          <cell r="K879" t="str">
            <v>鳥越中部終末処理場</v>
          </cell>
          <cell r="M879" t="str">
            <v>1</v>
          </cell>
          <cell r="N879" t="str">
            <v>1</v>
          </cell>
          <cell r="Q879">
            <v>34578</v>
          </cell>
          <cell r="R879" t="str">
            <v>平成</v>
          </cell>
          <cell r="S879">
            <v>6</v>
          </cell>
          <cell r="T879">
            <v>9</v>
          </cell>
          <cell r="AB879">
            <v>2300</v>
          </cell>
          <cell r="AC879" t="str">
            <v>大日川下流河川</v>
          </cell>
          <cell r="AD879" t="str">
            <v>Ａ</v>
          </cell>
          <cell r="AE879" t="str">
            <v>イ</v>
          </cell>
          <cell r="AF879">
            <v>15</v>
          </cell>
          <cell r="AJ879" t="str">
            <v>大日川</v>
          </cell>
          <cell r="AL879" t="str">
            <v>鶴来浄水場取水口</v>
          </cell>
          <cell r="AN879">
            <v>5</v>
          </cell>
          <cell r="AO879" t="str">
            <v>金沢市他１１市町</v>
          </cell>
          <cell r="AQ879" t="str">
            <v/>
          </cell>
          <cell r="AR879" t="str">
            <v>オキシディションディッチ法</v>
          </cell>
          <cell r="AS879" t="str">
            <v>1721002008</v>
          </cell>
          <cell r="AT879" t="str">
            <v/>
          </cell>
          <cell r="AU879" t="str">
            <v>10</v>
          </cell>
          <cell r="AV879" t="str">
            <v>10</v>
          </cell>
          <cell r="AW879">
            <v>0</v>
          </cell>
          <cell r="AX879">
            <v>0</v>
          </cell>
          <cell r="AY879">
            <v>0</v>
          </cell>
          <cell r="AZ879">
            <v>0</v>
          </cell>
          <cell r="BA879">
            <v>0</v>
          </cell>
          <cell r="BD879" t="str">
            <v/>
          </cell>
          <cell r="BE879">
            <v>1</v>
          </cell>
          <cell r="BG879" t="str">
            <v>1100</v>
          </cell>
        </row>
        <row r="880">
          <cell r="B880" t="str">
            <v>G172100206100900</v>
          </cell>
          <cell r="C880" t="str">
            <v>17.石川県</v>
          </cell>
          <cell r="D880" t="str">
            <v>210</v>
          </cell>
          <cell r="E880" t="str">
            <v>白山市</v>
          </cell>
          <cell r="F880" t="str">
            <v>02</v>
          </cell>
          <cell r="G880" t="str">
            <v>特環 単独</v>
          </cell>
          <cell r="H880" t="str">
            <v>特定環境保全公共下水道</v>
          </cell>
          <cell r="I880" t="str">
            <v>単独</v>
          </cell>
          <cell r="J880" t="str">
            <v>009</v>
          </cell>
          <cell r="K880" t="str">
            <v>吉野谷中部終末処理場</v>
          </cell>
          <cell r="M880" t="str">
            <v>1</v>
          </cell>
          <cell r="N880" t="str">
            <v>1</v>
          </cell>
          <cell r="Q880">
            <v>32082</v>
          </cell>
          <cell r="R880" t="str">
            <v>昭和</v>
          </cell>
          <cell r="S880">
            <v>62</v>
          </cell>
          <cell r="T880">
            <v>11</v>
          </cell>
          <cell r="AB880">
            <v>500</v>
          </cell>
          <cell r="AC880" t="str">
            <v>手取川中流河川</v>
          </cell>
          <cell r="AD880" t="str">
            <v>Ａ</v>
          </cell>
          <cell r="AE880" t="str">
            <v>イ</v>
          </cell>
          <cell r="AF880">
            <v>15</v>
          </cell>
          <cell r="AK880" t="str">
            <v>手取川</v>
          </cell>
          <cell r="AL880" t="str">
            <v>鶴来浄水場取水口</v>
          </cell>
          <cell r="AN880">
            <v>15</v>
          </cell>
          <cell r="AO880" t="str">
            <v>金沢市他１１市町</v>
          </cell>
          <cell r="AQ880" t="str">
            <v/>
          </cell>
          <cell r="AR880" t="str">
            <v>接触酸化法</v>
          </cell>
          <cell r="AS880" t="str">
            <v>1721002009</v>
          </cell>
          <cell r="AT880" t="str">
            <v/>
          </cell>
          <cell r="AU880" t="str">
            <v>10</v>
          </cell>
          <cell r="AV880" t="str">
            <v>10</v>
          </cell>
          <cell r="AW880">
            <v>0</v>
          </cell>
          <cell r="AX880">
            <v>0</v>
          </cell>
          <cell r="AY880">
            <v>0</v>
          </cell>
          <cell r="AZ880">
            <v>0</v>
          </cell>
          <cell r="BA880">
            <v>0</v>
          </cell>
          <cell r="BD880" t="str">
            <v/>
          </cell>
          <cell r="BE880">
            <v>1</v>
          </cell>
          <cell r="BG880" t="str">
            <v>1100</v>
          </cell>
        </row>
        <row r="881">
          <cell r="B881" t="str">
            <v>G172100206101000</v>
          </cell>
          <cell r="C881" t="str">
            <v>17.石川県</v>
          </cell>
          <cell r="D881" t="str">
            <v>210</v>
          </cell>
          <cell r="E881" t="str">
            <v>白山市</v>
          </cell>
          <cell r="F881" t="str">
            <v>02</v>
          </cell>
          <cell r="G881" t="str">
            <v>特環 単独</v>
          </cell>
          <cell r="H881" t="str">
            <v>特定環境保全公共下水道</v>
          </cell>
          <cell r="I881" t="str">
            <v>単独</v>
          </cell>
          <cell r="J881" t="str">
            <v>010</v>
          </cell>
          <cell r="K881" t="str">
            <v>吉野終末処理場</v>
          </cell>
          <cell r="M881" t="str">
            <v>1</v>
          </cell>
          <cell r="N881" t="str">
            <v>1</v>
          </cell>
          <cell r="Q881">
            <v>32964</v>
          </cell>
          <cell r="R881" t="str">
            <v>平成</v>
          </cell>
          <cell r="S881">
            <v>2</v>
          </cell>
          <cell r="T881">
            <v>4</v>
          </cell>
          <cell r="AB881">
            <v>1500</v>
          </cell>
          <cell r="AC881" t="str">
            <v>手取川中流河川</v>
          </cell>
          <cell r="AD881" t="str">
            <v>Ａ</v>
          </cell>
          <cell r="AE881" t="str">
            <v>イ</v>
          </cell>
          <cell r="AF881">
            <v>15</v>
          </cell>
          <cell r="AK881" t="str">
            <v>手取川</v>
          </cell>
          <cell r="AL881" t="str">
            <v>鶴来浄水場取水口</v>
          </cell>
          <cell r="AN881">
            <v>9</v>
          </cell>
          <cell r="AO881" t="str">
            <v>金沢市他１１市町</v>
          </cell>
          <cell r="AQ881" t="str">
            <v/>
          </cell>
          <cell r="AR881" t="str">
            <v>接触酸化法</v>
          </cell>
          <cell r="AS881" t="str">
            <v>1721002010</v>
          </cell>
          <cell r="AT881" t="str">
            <v/>
          </cell>
          <cell r="AU881" t="str">
            <v>10</v>
          </cell>
          <cell r="AV881" t="str">
            <v>10</v>
          </cell>
          <cell r="AW881">
            <v>0</v>
          </cell>
          <cell r="AX881">
            <v>0</v>
          </cell>
          <cell r="AY881">
            <v>0</v>
          </cell>
          <cell r="AZ881">
            <v>0</v>
          </cell>
          <cell r="BA881">
            <v>0</v>
          </cell>
          <cell r="BD881" t="str">
            <v/>
          </cell>
          <cell r="BE881">
            <v>1</v>
          </cell>
          <cell r="BG881" t="str">
            <v>1100</v>
          </cell>
        </row>
        <row r="882">
          <cell r="B882" t="str">
            <v>G172100206101100</v>
          </cell>
          <cell r="C882" t="str">
            <v>17.石川県</v>
          </cell>
          <cell r="D882" t="str">
            <v>210</v>
          </cell>
          <cell r="E882" t="str">
            <v>白山市</v>
          </cell>
          <cell r="F882" t="str">
            <v>02</v>
          </cell>
          <cell r="G882" t="str">
            <v>特環 単独</v>
          </cell>
          <cell r="H882" t="str">
            <v>特定環境保全公共下水道</v>
          </cell>
          <cell r="I882" t="str">
            <v>単独</v>
          </cell>
          <cell r="J882" t="str">
            <v>011</v>
          </cell>
          <cell r="K882" t="str">
            <v>一里野終末処理場</v>
          </cell>
          <cell r="M882" t="str">
            <v>1</v>
          </cell>
          <cell r="N882" t="str">
            <v>1</v>
          </cell>
          <cell r="Q882">
            <v>33147</v>
          </cell>
          <cell r="R882" t="str">
            <v>平成</v>
          </cell>
          <cell r="S882">
            <v>2</v>
          </cell>
          <cell r="T882">
            <v>10</v>
          </cell>
          <cell r="AB882">
            <v>647</v>
          </cell>
          <cell r="AC882" t="str">
            <v>手取川中流河川</v>
          </cell>
          <cell r="AD882" t="str">
            <v>Ａ</v>
          </cell>
          <cell r="AE882" t="str">
            <v>イ</v>
          </cell>
          <cell r="AF882">
            <v>15</v>
          </cell>
          <cell r="AI882" t="str">
            <v>尾添川</v>
          </cell>
          <cell r="AK882" t="str">
            <v>手取川</v>
          </cell>
          <cell r="AL882" t="str">
            <v>一里野浄水場</v>
          </cell>
          <cell r="AM882">
            <v>2</v>
          </cell>
          <cell r="AQ882" t="str">
            <v/>
          </cell>
          <cell r="AR882" t="str">
            <v>オキシディションディッチ法</v>
          </cell>
          <cell r="AS882" t="str">
            <v>1721002011</v>
          </cell>
          <cell r="AT882" t="str">
            <v/>
          </cell>
          <cell r="AU882" t="str">
            <v>10</v>
          </cell>
          <cell r="AV882" t="str">
            <v>10</v>
          </cell>
          <cell r="AW882">
            <v>0</v>
          </cell>
          <cell r="AX882">
            <v>0</v>
          </cell>
          <cell r="AY882">
            <v>0</v>
          </cell>
          <cell r="AZ882">
            <v>0</v>
          </cell>
          <cell r="BA882">
            <v>0</v>
          </cell>
          <cell r="BD882" t="str">
            <v/>
          </cell>
          <cell r="BE882">
            <v>1</v>
          </cell>
          <cell r="BG882" t="str">
            <v>1100</v>
          </cell>
        </row>
        <row r="883">
          <cell r="B883" t="str">
            <v>G172100206101200</v>
          </cell>
          <cell r="C883" t="str">
            <v>17.石川県</v>
          </cell>
          <cell r="D883" t="str">
            <v>210</v>
          </cell>
          <cell r="E883" t="str">
            <v>白山市</v>
          </cell>
          <cell r="F883" t="str">
            <v>02</v>
          </cell>
          <cell r="G883" t="str">
            <v>特環 単独</v>
          </cell>
          <cell r="H883" t="str">
            <v>特定環境保全公共下水道</v>
          </cell>
          <cell r="I883" t="str">
            <v>単独</v>
          </cell>
          <cell r="J883" t="str">
            <v>012</v>
          </cell>
          <cell r="K883" t="str">
            <v>白峰処理センター</v>
          </cell>
          <cell r="M883" t="str">
            <v>1</v>
          </cell>
          <cell r="N883" t="str">
            <v>1</v>
          </cell>
          <cell r="Q883">
            <v>32478</v>
          </cell>
          <cell r="R883" t="str">
            <v>昭和</v>
          </cell>
          <cell r="S883">
            <v>63</v>
          </cell>
          <cell r="T883">
            <v>12</v>
          </cell>
          <cell r="AB883">
            <v>1578</v>
          </cell>
          <cell r="AC883" t="str">
            <v>手取川上流河川</v>
          </cell>
          <cell r="AD883" t="str">
            <v>ＡＡ</v>
          </cell>
          <cell r="AE883" t="str">
            <v>イ</v>
          </cell>
          <cell r="AF883">
            <v>15</v>
          </cell>
          <cell r="AK883" t="str">
            <v>手取川</v>
          </cell>
          <cell r="AQ883" t="str">
            <v/>
          </cell>
          <cell r="AR883" t="str">
            <v>オキシディションディッチ法</v>
          </cell>
          <cell r="AS883" t="str">
            <v>1721002012</v>
          </cell>
          <cell r="AT883" t="str">
            <v/>
          </cell>
          <cell r="AU883" t="str">
            <v>10</v>
          </cell>
          <cell r="AV883" t="str">
            <v>10</v>
          </cell>
          <cell r="AW883">
            <v>0</v>
          </cell>
          <cell r="AX883">
            <v>0</v>
          </cell>
          <cell r="AY883">
            <v>0</v>
          </cell>
          <cell r="AZ883">
            <v>0</v>
          </cell>
          <cell r="BA883">
            <v>0</v>
          </cell>
          <cell r="BD883" t="str">
            <v/>
          </cell>
          <cell r="BE883">
            <v>1</v>
          </cell>
          <cell r="BG883" t="str">
            <v>1100</v>
          </cell>
        </row>
        <row r="884">
          <cell r="B884" t="str">
            <v>G172110106100100</v>
          </cell>
          <cell r="C884" t="str">
            <v>17.石川県</v>
          </cell>
          <cell r="D884" t="str">
            <v>211</v>
          </cell>
          <cell r="E884" t="str">
            <v>能美市</v>
          </cell>
          <cell r="F884" t="str">
            <v>01</v>
          </cell>
          <cell r="G884" t="str">
            <v>公共 単独</v>
          </cell>
          <cell r="H884" t="str">
            <v>公共下水道</v>
          </cell>
          <cell r="I884" t="str">
            <v>単独</v>
          </cell>
          <cell r="J884" t="str">
            <v>001</v>
          </cell>
          <cell r="K884" t="str">
            <v>寺井東部浄化センター</v>
          </cell>
          <cell r="M884" t="str">
            <v>1</v>
          </cell>
          <cell r="N884" t="str">
            <v>1</v>
          </cell>
          <cell r="P884" t="str">
            <v>1</v>
          </cell>
          <cell r="Q884">
            <v>30195</v>
          </cell>
          <cell r="R884" t="str">
            <v>昭和</v>
          </cell>
          <cell r="S884">
            <v>57</v>
          </cell>
          <cell r="T884">
            <v>9</v>
          </cell>
          <cell r="AB884">
            <v>3600</v>
          </cell>
          <cell r="AC884" t="str">
            <v>梯川上流</v>
          </cell>
          <cell r="AD884" t="str">
            <v>Ａ</v>
          </cell>
          <cell r="AE884" t="str">
            <v>イ</v>
          </cell>
          <cell r="AF884">
            <v>15</v>
          </cell>
          <cell r="AK884" t="str">
            <v>梯川</v>
          </cell>
          <cell r="AQ884" t="str">
            <v/>
          </cell>
          <cell r="AR884" t="str">
            <v>オキシディションディッチ法</v>
          </cell>
          <cell r="AS884" t="str">
            <v>1721101001</v>
          </cell>
          <cell r="AT884" t="str">
            <v/>
          </cell>
          <cell r="AU884" t="str">
            <v>10</v>
          </cell>
          <cell r="AV884" t="str">
            <v>10</v>
          </cell>
          <cell r="AW884">
            <v>1</v>
          </cell>
          <cell r="AX884">
            <v>0</v>
          </cell>
          <cell r="AY884">
            <v>0</v>
          </cell>
          <cell r="AZ884">
            <v>0</v>
          </cell>
          <cell r="BA884">
            <v>0</v>
          </cell>
          <cell r="BD884" t="str">
            <v/>
          </cell>
          <cell r="BE884">
            <v>1</v>
          </cell>
          <cell r="BG884" t="str">
            <v>1101</v>
          </cell>
        </row>
        <row r="885">
          <cell r="B885" t="str">
            <v>G173610106100100</v>
          </cell>
          <cell r="C885" t="str">
            <v>17.石川県</v>
          </cell>
          <cell r="D885" t="str">
            <v>361</v>
          </cell>
          <cell r="E885" t="str">
            <v>津幡町</v>
          </cell>
          <cell r="F885" t="str">
            <v>01</v>
          </cell>
          <cell r="G885" t="str">
            <v>公共 単独</v>
          </cell>
          <cell r="H885" t="str">
            <v>公共下水道</v>
          </cell>
          <cell r="I885" t="str">
            <v>単独</v>
          </cell>
          <cell r="J885" t="str">
            <v>001</v>
          </cell>
          <cell r="K885" t="str">
            <v>津幡町浄化センター</v>
          </cell>
          <cell r="M885" t="str">
            <v>1</v>
          </cell>
          <cell r="N885" t="str">
            <v>1</v>
          </cell>
          <cell r="Q885">
            <v>32964</v>
          </cell>
          <cell r="R885" t="str">
            <v>平成</v>
          </cell>
          <cell r="S885">
            <v>2</v>
          </cell>
          <cell r="T885">
            <v>4</v>
          </cell>
          <cell r="AB885">
            <v>66420</v>
          </cell>
          <cell r="AC885" t="str">
            <v>河北潟中央</v>
          </cell>
          <cell r="AD885" t="str">
            <v>Ｂ</v>
          </cell>
          <cell r="AE885" t="str">
            <v>ロ</v>
          </cell>
          <cell r="AF885">
            <v>15</v>
          </cell>
          <cell r="AJ885" t="str">
            <v>河北潟</v>
          </cell>
          <cell r="AQ885" t="str">
            <v/>
          </cell>
          <cell r="AR885" t="str">
            <v>オキシディションディッチ法</v>
          </cell>
          <cell r="AS885" t="str">
            <v>1736101001</v>
          </cell>
          <cell r="AT885" t="str">
            <v/>
          </cell>
          <cell r="AU885" t="str">
            <v>10</v>
          </cell>
          <cell r="AV885" t="str">
            <v>10</v>
          </cell>
          <cell r="AW885">
            <v>0</v>
          </cell>
          <cell r="AX885">
            <v>0</v>
          </cell>
          <cell r="AY885">
            <v>0</v>
          </cell>
          <cell r="AZ885">
            <v>0</v>
          </cell>
          <cell r="BA885">
            <v>0</v>
          </cell>
          <cell r="BD885" t="str">
            <v/>
          </cell>
          <cell r="BE885">
            <v>1</v>
          </cell>
          <cell r="BG885" t="str">
            <v>1100</v>
          </cell>
        </row>
        <row r="886">
          <cell r="B886" t="str">
            <v>G173650106100100</v>
          </cell>
          <cell r="C886" t="str">
            <v>17.石川県</v>
          </cell>
          <cell r="D886" t="str">
            <v>365</v>
          </cell>
          <cell r="E886" t="str">
            <v>内灘町</v>
          </cell>
          <cell r="F886" t="str">
            <v>01</v>
          </cell>
          <cell r="G886" t="str">
            <v>公共 単独</v>
          </cell>
          <cell r="H886" t="str">
            <v>公共下水道</v>
          </cell>
          <cell r="I886" t="str">
            <v>単独</v>
          </cell>
          <cell r="J886" t="str">
            <v>001</v>
          </cell>
          <cell r="K886" t="str">
            <v>内灘町浄化センター</v>
          </cell>
          <cell r="M886" t="str">
            <v>1</v>
          </cell>
          <cell r="N886" t="str">
            <v>1</v>
          </cell>
          <cell r="Q886">
            <v>32599</v>
          </cell>
          <cell r="R886" t="str">
            <v>平成</v>
          </cell>
          <cell r="S886">
            <v>1</v>
          </cell>
          <cell r="T886">
            <v>4</v>
          </cell>
          <cell r="AB886">
            <v>64270</v>
          </cell>
          <cell r="AC886" t="str">
            <v>河北沿岸海域</v>
          </cell>
          <cell r="AD886" t="str">
            <v>Ａ</v>
          </cell>
          <cell r="AE886" t="str">
            <v>イ</v>
          </cell>
          <cell r="AF886">
            <v>15</v>
          </cell>
          <cell r="AI886" t="str">
            <v>日本海</v>
          </cell>
          <cell r="AQ886" t="str">
            <v/>
          </cell>
          <cell r="AR886" t="str">
            <v>オキシディションディッチ法</v>
          </cell>
          <cell r="AS886" t="str">
            <v>1736501001</v>
          </cell>
          <cell r="AT886" t="str">
            <v/>
          </cell>
          <cell r="AU886" t="str">
            <v>10</v>
          </cell>
          <cell r="AV886" t="str">
            <v>10</v>
          </cell>
          <cell r="AW886">
            <v>0</v>
          </cell>
          <cell r="AX886">
            <v>0</v>
          </cell>
          <cell r="AY886">
            <v>0</v>
          </cell>
          <cell r="AZ886">
            <v>0</v>
          </cell>
          <cell r="BA886">
            <v>0</v>
          </cell>
          <cell r="BD886" t="str">
            <v/>
          </cell>
          <cell r="BE886">
            <v>1</v>
          </cell>
          <cell r="BG886" t="str">
            <v>1100</v>
          </cell>
        </row>
        <row r="887">
          <cell r="B887" t="str">
            <v>G173840106100100</v>
          </cell>
          <cell r="C887" t="str">
            <v>17.石川県</v>
          </cell>
          <cell r="D887" t="str">
            <v>384</v>
          </cell>
          <cell r="E887" t="str">
            <v>志賀町</v>
          </cell>
          <cell r="F887" t="str">
            <v>01</v>
          </cell>
          <cell r="G887" t="str">
            <v>公共 単独</v>
          </cell>
          <cell r="H887" t="str">
            <v>公共下水道</v>
          </cell>
          <cell r="I887" t="str">
            <v>単独</v>
          </cell>
          <cell r="J887" t="str">
            <v>001</v>
          </cell>
          <cell r="K887" t="str">
            <v>中央水処理センター</v>
          </cell>
          <cell r="M887" t="str">
            <v>1</v>
          </cell>
          <cell r="N887" t="str">
            <v>1</v>
          </cell>
          <cell r="Q887">
            <v>36951</v>
          </cell>
          <cell r="R887" t="str">
            <v>平成</v>
          </cell>
          <cell r="S887">
            <v>13</v>
          </cell>
          <cell r="T887">
            <v>3</v>
          </cell>
          <cell r="AB887">
            <v>17900</v>
          </cell>
          <cell r="AC887" t="str">
            <v>米町川</v>
          </cell>
          <cell r="AD887" t="str">
            <v>Ｂ</v>
          </cell>
          <cell r="AE887" t="str">
            <v>イ</v>
          </cell>
          <cell r="AF887">
            <v>15</v>
          </cell>
          <cell r="AJ887" t="str">
            <v>米町川</v>
          </cell>
          <cell r="AQ887" t="str">
            <v/>
          </cell>
          <cell r="AR887" t="str">
            <v>オキシディションディッチ法</v>
          </cell>
          <cell r="AS887" t="str">
            <v>1738401001</v>
          </cell>
          <cell r="AT887" t="str">
            <v/>
          </cell>
          <cell r="AU887" t="str">
            <v>10</v>
          </cell>
          <cell r="AV887" t="str">
            <v>10</v>
          </cell>
          <cell r="AW887">
            <v>0</v>
          </cell>
          <cell r="AX887">
            <v>0</v>
          </cell>
          <cell r="AY887">
            <v>0</v>
          </cell>
          <cell r="AZ887">
            <v>0</v>
          </cell>
          <cell r="BA887">
            <v>0</v>
          </cell>
          <cell r="BD887" t="str">
            <v/>
          </cell>
          <cell r="BE887">
            <v>1</v>
          </cell>
          <cell r="BG887" t="str">
            <v>1100</v>
          </cell>
        </row>
        <row r="888">
          <cell r="B888" t="str">
            <v>G173840106100200</v>
          </cell>
          <cell r="C888" t="str">
            <v>17.石川県</v>
          </cell>
          <cell r="D888" t="str">
            <v>384</v>
          </cell>
          <cell r="E888" t="str">
            <v>志賀町</v>
          </cell>
          <cell r="F888" t="str">
            <v>01</v>
          </cell>
          <cell r="G888" t="str">
            <v>公共 単独</v>
          </cell>
          <cell r="H888" t="str">
            <v>公共下水道</v>
          </cell>
          <cell r="I888" t="str">
            <v>単独</v>
          </cell>
          <cell r="J888" t="str">
            <v>002</v>
          </cell>
          <cell r="K888" t="str">
            <v>富来浄化センター</v>
          </cell>
          <cell r="M888" t="str">
            <v>1</v>
          </cell>
          <cell r="N888" t="str">
            <v>1</v>
          </cell>
          <cell r="Q888">
            <v>39873</v>
          </cell>
          <cell r="R888" t="str">
            <v>平成</v>
          </cell>
          <cell r="S888">
            <v>21</v>
          </cell>
          <cell r="T888">
            <v>3</v>
          </cell>
          <cell r="AB888">
            <v>10200</v>
          </cell>
          <cell r="AC888" t="str">
            <v>富来川</v>
          </cell>
          <cell r="AD888" t="str">
            <v>Ｂ</v>
          </cell>
          <cell r="AE888" t="str">
            <v>イ</v>
          </cell>
          <cell r="AF888">
            <v>15</v>
          </cell>
          <cell r="AJ888" t="str">
            <v>富来川</v>
          </cell>
          <cell r="AQ888" t="str">
            <v/>
          </cell>
          <cell r="AR888" t="str">
            <v>オキシディションディッチ法</v>
          </cell>
          <cell r="AS888" t="str">
            <v>1738401002</v>
          </cell>
          <cell r="AT888" t="str">
            <v/>
          </cell>
          <cell r="AU888" t="str">
            <v>10</v>
          </cell>
          <cell r="AV888" t="str">
            <v>10</v>
          </cell>
          <cell r="AW888">
            <v>0</v>
          </cell>
          <cell r="AX888">
            <v>0</v>
          </cell>
          <cell r="AY888">
            <v>0</v>
          </cell>
          <cell r="AZ888">
            <v>0</v>
          </cell>
          <cell r="BA888">
            <v>0</v>
          </cell>
          <cell r="BD888" t="str">
            <v/>
          </cell>
          <cell r="BE888">
            <v>1</v>
          </cell>
          <cell r="BG888" t="str">
            <v>1100</v>
          </cell>
        </row>
        <row r="889">
          <cell r="B889" t="str">
            <v>G173840206100300</v>
          </cell>
          <cell r="C889" t="str">
            <v>17.石川県</v>
          </cell>
          <cell r="D889" t="str">
            <v>384</v>
          </cell>
          <cell r="E889" t="str">
            <v>志賀町</v>
          </cell>
          <cell r="F889" t="str">
            <v>02</v>
          </cell>
          <cell r="G889" t="str">
            <v>特環 単独</v>
          </cell>
          <cell r="H889" t="str">
            <v>特定環境保全公共下水道</v>
          </cell>
          <cell r="I889" t="str">
            <v>単独</v>
          </cell>
          <cell r="J889" t="str">
            <v>003</v>
          </cell>
          <cell r="K889" t="str">
            <v>西海浄化センター</v>
          </cell>
          <cell r="M889" t="str">
            <v>1</v>
          </cell>
          <cell r="N889" t="str">
            <v>1</v>
          </cell>
          <cell r="Q889">
            <v>36586</v>
          </cell>
          <cell r="R889" t="str">
            <v>平成</v>
          </cell>
          <cell r="S889">
            <v>12</v>
          </cell>
          <cell r="T889">
            <v>3</v>
          </cell>
          <cell r="AB889">
            <v>4065</v>
          </cell>
          <cell r="AC889" t="str">
            <v>日本海（能登半島沿岸）</v>
          </cell>
          <cell r="AD889" t="str">
            <v>Ａ</v>
          </cell>
          <cell r="AE889" t="str">
            <v>イ</v>
          </cell>
          <cell r="AF889">
            <v>15</v>
          </cell>
          <cell r="AG889">
            <v>20</v>
          </cell>
          <cell r="AH889">
            <v>3</v>
          </cell>
          <cell r="AI889" t="str">
            <v>能登半島沿岸</v>
          </cell>
          <cell r="AQ889" t="str">
            <v/>
          </cell>
          <cell r="AR889" t="str">
            <v>オキシディションディッチ法</v>
          </cell>
          <cell r="AS889" t="str">
            <v>1738402003</v>
          </cell>
          <cell r="AT889" t="str">
            <v/>
          </cell>
          <cell r="AU889" t="str">
            <v>10</v>
          </cell>
          <cell r="AV889" t="str">
            <v>10</v>
          </cell>
          <cell r="AW889">
            <v>0</v>
          </cell>
          <cell r="AX889">
            <v>0</v>
          </cell>
          <cell r="AY889">
            <v>0</v>
          </cell>
          <cell r="AZ889">
            <v>0</v>
          </cell>
          <cell r="BA889">
            <v>0</v>
          </cell>
          <cell r="BD889" t="str">
            <v/>
          </cell>
          <cell r="BE889">
            <v>1</v>
          </cell>
          <cell r="BG889" t="str">
            <v>1100</v>
          </cell>
        </row>
        <row r="890">
          <cell r="B890" t="str">
            <v>G173840206100400</v>
          </cell>
          <cell r="C890" t="str">
            <v>17.石川県</v>
          </cell>
          <cell r="D890" t="str">
            <v>384</v>
          </cell>
          <cell r="E890" t="str">
            <v>志賀町</v>
          </cell>
          <cell r="F890" t="str">
            <v>02</v>
          </cell>
          <cell r="G890" t="str">
            <v>特環 単独</v>
          </cell>
          <cell r="H890" t="str">
            <v>特定環境保全公共下水道</v>
          </cell>
          <cell r="I890" t="str">
            <v>単独</v>
          </cell>
          <cell r="J890" t="str">
            <v>004</v>
          </cell>
          <cell r="K890" t="str">
            <v>福浦浄化センター</v>
          </cell>
          <cell r="M890" t="str">
            <v>1</v>
          </cell>
          <cell r="N890" t="str">
            <v>1</v>
          </cell>
          <cell r="Q890">
            <v>38322</v>
          </cell>
          <cell r="R890" t="str">
            <v>平成</v>
          </cell>
          <cell r="S890">
            <v>16</v>
          </cell>
          <cell r="T890">
            <v>12</v>
          </cell>
          <cell r="AB890">
            <v>1717</v>
          </cell>
          <cell r="AC890" t="str">
            <v>日本海</v>
          </cell>
          <cell r="AD890" t="str">
            <v>Ａ</v>
          </cell>
          <cell r="AE890" t="str">
            <v>イ</v>
          </cell>
          <cell r="AF890">
            <v>15</v>
          </cell>
          <cell r="AG890">
            <v>20</v>
          </cell>
          <cell r="AH890">
            <v>3</v>
          </cell>
          <cell r="AI890" t="str">
            <v>能登半島沿岸</v>
          </cell>
          <cell r="AQ890" t="str">
            <v/>
          </cell>
          <cell r="AR890" t="str">
            <v>オキシディションディッチ法</v>
          </cell>
          <cell r="AS890" t="str">
            <v>1738402004</v>
          </cell>
          <cell r="AT890" t="str">
            <v/>
          </cell>
          <cell r="AU890" t="str">
            <v>10</v>
          </cell>
          <cell r="AV890" t="str">
            <v>10</v>
          </cell>
          <cell r="AW890">
            <v>0</v>
          </cell>
          <cell r="AX890">
            <v>0</v>
          </cell>
          <cell r="AY890">
            <v>0</v>
          </cell>
          <cell r="AZ890">
            <v>0</v>
          </cell>
          <cell r="BA890">
            <v>0</v>
          </cell>
          <cell r="BD890" t="str">
            <v/>
          </cell>
          <cell r="BE890">
            <v>1</v>
          </cell>
          <cell r="BG890" t="str">
            <v>1100</v>
          </cell>
        </row>
        <row r="891">
          <cell r="B891" t="str">
            <v>G173860206100100</v>
          </cell>
          <cell r="C891" t="str">
            <v>17.石川県</v>
          </cell>
          <cell r="D891" t="str">
            <v>386</v>
          </cell>
          <cell r="E891" t="str">
            <v>宝達志水町</v>
          </cell>
          <cell r="F891" t="str">
            <v>02</v>
          </cell>
          <cell r="G891" t="str">
            <v>特環 単独</v>
          </cell>
          <cell r="H891" t="str">
            <v>特定環境保全公共下水道</v>
          </cell>
          <cell r="I891" t="str">
            <v>単独</v>
          </cell>
          <cell r="J891" t="str">
            <v>001</v>
          </cell>
          <cell r="K891" t="str">
            <v>今浜浄化センター</v>
          </cell>
          <cell r="M891" t="str">
            <v>1</v>
          </cell>
          <cell r="N891" t="str">
            <v>1</v>
          </cell>
          <cell r="Q891">
            <v>35153</v>
          </cell>
          <cell r="R891" t="str">
            <v>平成</v>
          </cell>
          <cell r="S891">
            <v>8</v>
          </cell>
          <cell r="T891">
            <v>3</v>
          </cell>
          <cell r="AB891">
            <v>7948</v>
          </cell>
          <cell r="AC891" t="str">
            <v>能登半島沿岸海域</v>
          </cell>
          <cell r="AD891" t="str">
            <v>Ａ-1</v>
          </cell>
          <cell r="AJ891" t="str">
            <v>相見川</v>
          </cell>
          <cell r="AQ891" t="str">
            <v/>
          </cell>
          <cell r="AR891" t="str">
            <v>オキシディションディッチ法</v>
          </cell>
          <cell r="AS891" t="str">
            <v>1738602001</v>
          </cell>
          <cell r="AT891" t="str">
            <v/>
          </cell>
          <cell r="AU891" t="str">
            <v>10</v>
          </cell>
          <cell r="AV891" t="str">
            <v>10</v>
          </cell>
          <cell r="AW891">
            <v>0</v>
          </cell>
          <cell r="AX891">
            <v>0</v>
          </cell>
          <cell r="AY891">
            <v>0</v>
          </cell>
          <cell r="AZ891">
            <v>0</v>
          </cell>
          <cell r="BA891">
            <v>0</v>
          </cell>
          <cell r="BD891" t="str">
            <v/>
          </cell>
          <cell r="BE891">
            <v>1</v>
          </cell>
          <cell r="BG891" t="str">
            <v>1100</v>
          </cell>
        </row>
        <row r="892">
          <cell r="B892" t="str">
            <v>G173860206100200</v>
          </cell>
          <cell r="C892" t="str">
            <v>17.石川県</v>
          </cell>
          <cell r="D892" t="str">
            <v>386</v>
          </cell>
          <cell r="E892" t="str">
            <v>宝達志水町</v>
          </cell>
          <cell r="F892" t="str">
            <v>02</v>
          </cell>
          <cell r="G892" t="str">
            <v>特環 単独</v>
          </cell>
          <cell r="H892" t="str">
            <v>特定環境保全公共下水道</v>
          </cell>
          <cell r="I892" t="str">
            <v>単独</v>
          </cell>
          <cell r="J892" t="str">
            <v>002</v>
          </cell>
          <cell r="K892" t="str">
            <v>北川尻浄化センター</v>
          </cell>
          <cell r="M892" t="str">
            <v>1</v>
          </cell>
          <cell r="N892" t="str">
            <v>1</v>
          </cell>
          <cell r="R892" t="str">
            <v>平成</v>
          </cell>
          <cell r="S892">
            <v>10</v>
          </cell>
          <cell r="T892">
            <v>3</v>
          </cell>
          <cell r="AB892">
            <v>7956</v>
          </cell>
          <cell r="AC892" t="str">
            <v>能登半島沿岸海域</v>
          </cell>
          <cell r="AD892" t="str">
            <v>Ａ-1</v>
          </cell>
          <cell r="AF892">
            <v>15</v>
          </cell>
          <cell r="AJ892" t="str">
            <v>前田川</v>
          </cell>
          <cell r="AQ892" t="str">
            <v/>
          </cell>
          <cell r="AR892" t="str">
            <v>オキシディションディッチ法</v>
          </cell>
          <cell r="AS892" t="str">
            <v>1738602002</v>
          </cell>
          <cell r="AT892" t="str">
            <v/>
          </cell>
          <cell r="AU892" t="str">
            <v>10</v>
          </cell>
          <cell r="AV892" t="str">
            <v>10</v>
          </cell>
          <cell r="AW892">
            <v>0</v>
          </cell>
          <cell r="AX892">
            <v>0</v>
          </cell>
          <cell r="AY892">
            <v>0</v>
          </cell>
          <cell r="AZ892">
            <v>0</v>
          </cell>
          <cell r="BA892">
            <v>0</v>
          </cell>
          <cell r="BD892" t="str">
            <v/>
          </cell>
          <cell r="BE892">
            <v>1</v>
          </cell>
          <cell r="BG892" t="str">
            <v>1100</v>
          </cell>
        </row>
        <row r="893">
          <cell r="B893" t="str">
            <v>G173860206100300</v>
          </cell>
          <cell r="C893" t="str">
            <v>17.石川県</v>
          </cell>
          <cell r="D893" t="str">
            <v>386</v>
          </cell>
          <cell r="E893" t="str">
            <v>宝達志水町</v>
          </cell>
          <cell r="F893" t="str">
            <v>02</v>
          </cell>
          <cell r="G893" t="str">
            <v>特環 単独</v>
          </cell>
          <cell r="H893" t="str">
            <v>特定環境保全公共下水道</v>
          </cell>
          <cell r="I893" t="str">
            <v>単独</v>
          </cell>
          <cell r="J893" t="str">
            <v>003</v>
          </cell>
          <cell r="K893" t="str">
            <v>志雄浄化センター</v>
          </cell>
          <cell r="M893" t="str">
            <v>1</v>
          </cell>
          <cell r="N893" t="str">
            <v>1</v>
          </cell>
          <cell r="Q893">
            <v>36616</v>
          </cell>
          <cell r="R893" t="str">
            <v>平成</v>
          </cell>
          <cell r="S893">
            <v>12</v>
          </cell>
          <cell r="T893">
            <v>3</v>
          </cell>
          <cell r="AB893">
            <v>10900</v>
          </cell>
          <cell r="AC893" t="str">
            <v>子浦川</v>
          </cell>
          <cell r="AD893" t="str">
            <v>Ｂ-Ⅰ</v>
          </cell>
          <cell r="AF893">
            <v>15</v>
          </cell>
          <cell r="AJ893" t="str">
            <v>子浦川</v>
          </cell>
          <cell r="AQ893" t="str">
            <v/>
          </cell>
          <cell r="AR893" t="str">
            <v>オキシディションディッチ法</v>
          </cell>
          <cell r="AS893" t="str">
            <v>1738602003</v>
          </cell>
          <cell r="AT893" t="str">
            <v/>
          </cell>
          <cell r="AU893" t="str">
            <v>10</v>
          </cell>
          <cell r="AV893" t="str">
            <v>10</v>
          </cell>
          <cell r="AW893">
            <v>0</v>
          </cell>
          <cell r="AX893">
            <v>0</v>
          </cell>
          <cell r="AY893">
            <v>0</v>
          </cell>
          <cell r="AZ893">
            <v>0</v>
          </cell>
          <cell r="BA893">
            <v>0</v>
          </cell>
          <cell r="BD893" t="str">
            <v/>
          </cell>
          <cell r="BE893">
            <v>1</v>
          </cell>
          <cell r="BG893" t="str">
            <v>1100</v>
          </cell>
        </row>
        <row r="894">
          <cell r="B894" t="str">
            <v>G173860206100400</v>
          </cell>
          <cell r="C894" t="str">
            <v>17.石川県</v>
          </cell>
          <cell r="D894" t="str">
            <v>386</v>
          </cell>
          <cell r="E894" t="str">
            <v>宝達志水町</v>
          </cell>
          <cell r="F894" t="str">
            <v>02</v>
          </cell>
          <cell r="G894" t="str">
            <v>特環 単独</v>
          </cell>
          <cell r="H894" t="str">
            <v>特定環境保全公共下水道</v>
          </cell>
          <cell r="I894" t="str">
            <v>単独</v>
          </cell>
          <cell r="J894" t="str">
            <v>004</v>
          </cell>
          <cell r="K894" t="str">
            <v>樋川浄化センター</v>
          </cell>
          <cell r="M894" t="str">
            <v>1</v>
          </cell>
          <cell r="N894" t="str">
            <v>1</v>
          </cell>
          <cell r="Q894">
            <v>39538</v>
          </cell>
          <cell r="R894" t="str">
            <v>平成</v>
          </cell>
          <cell r="S894">
            <v>20</v>
          </cell>
          <cell r="T894">
            <v>3</v>
          </cell>
          <cell r="AB894">
            <v>11000</v>
          </cell>
          <cell r="AC894" t="str">
            <v>長者川</v>
          </cell>
          <cell r="AF894">
            <v>15</v>
          </cell>
          <cell r="AJ894" t="str">
            <v>長者川</v>
          </cell>
          <cell r="AQ894" t="str">
            <v/>
          </cell>
          <cell r="AR894" t="str">
            <v>オキシディションディッチ法</v>
          </cell>
          <cell r="AS894" t="str">
            <v>1738602004</v>
          </cell>
          <cell r="AT894" t="str">
            <v/>
          </cell>
          <cell r="AU894" t="str">
            <v>10</v>
          </cell>
          <cell r="AV894" t="str">
            <v>10</v>
          </cell>
          <cell r="AW894">
            <v>0</v>
          </cell>
          <cell r="AX894">
            <v>0</v>
          </cell>
          <cell r="AY894">
            <v>0</v>
          </cell>
          <cell r="AZ894">
            <v>0</v>
          </cell>
          <cell r="BA894">
            <v>0</v>
          </cell>
          <cell r="BD894" t="str">
            <v/>
          </cell>
          <cell r="BE894">
            <v>1</v>
          </cell>
          <cell r="BG894" t="str">
            <v>1100</v>
          </cell>
        </row>
        <row r="895">
          <cell r="B895" t="str">
            <v>G174070206100100</v>
          </cell>
          <cell r="C895" t="str">
            <v>17.石川県</v>
          </cell>
          <cell r="D895" t="str">
            <v>407</v>
          </cell>
          <cell r="E895" t="str">
            <v>中能登町</v>
          </cell>
          <cell r="F895" t="str">
            <v>02</v>
          </cell>
          <cell r="G895" t="str">
            <v>特環 単独</v>
          </cell>
          <cell r="H895" t="str">
            <v>特定環境保全公共下水道</v>
          </cell>
          <cell r="I895" t="str">
            <v>単独</v>
          </cell>
          <cell r="J895" t="str">
            <v>001</v>
          </cell>
          <cell r="K895" t="str">
            <v>鹿島中部クリーンセンター</v>
          </cell>
          <cell r="M895" t="str">
            <v>1</v>
          </cell>
          <cell r="N895" t="str">
            <v>1</v>
          </cell>
          <cell r="Q895">
            <v>34243</v>
          </cell>
          <cell r="R895" t="str">
            <v>平成</v>
          </cell>
          <cell r="S895">
            <v>5</v>
          </cell>
          <cell r="T895">
            <v>10</v>
          </cell>
          <cell r="AB895">
            <v>19600</v>
          </cell>
          <cell r="AC895" t="str">
            <v>長曽川</v>
          </cell>
          <cell r="AD895" t="str">
            <v>Ｂ</v>
          </cell>
          <cell r="AE895" t="str">
            <v>イ</v>
          </cell>
          <cell r="AF895">
            <v>15</v>
          </cell>
          <cell r="AG895">
            <v>2</v>
          </cell>
          <cell r="AJ895" t="str">
            <v>久江川</v>
          </cell>
          <cell r="AL895" t="str">
            <v>中能登町上水道取水口</v>
          </cell>
          <cell r="AM895">
            <v>20</v>
          </cell>
          <cell r="AO895" t="str">
            <v>中能登町</v>
          </cell>
          <cell r="AQ895" t="str">
            <v/>
          </cell>
          <cell r="AR895" t="str">
            <v>オキシディションディッチ法</v>
          </cell>
          <cell r="AS895" t="str">
            <v>1740702001</v>
          </cell>
          <cell r="AT895" t="str">
            <v/>
          </cell>
          <cell r="AU895" t="str">
            <v>10</v>
          </cell>
          <cell r="AV895" t="str">
            <v>10</v>
          </cell>
          <cell r="AW895">
            <v>0</v>
          </cell>
          <cell r="AX895">
            <v>0</v>
          </cell>
          <cell r="AY895">
            <v>0</v>
          </cell>
          <cell r="AZ895">
            <v>0</v>
          </cell>
          <cell r="BA895">
            <v>0</v>
          </cell>
          <cell r="BD895" t="str">
            <v/>
          </cell>
          <cell r="BE895">
            <v>1</v>
          </cell>
          <cell r="BG895" t="str">
            <v>1100</v>
          </cell>
        </row>
        <row r="896">
          <cell r="B896" t="str">
            <v>G174070206100200</v>
          </cell>
          <cell r="C896" t="str">
            <v>17.石川県</v>
          </cell>
          <cell r="D896" t="str">
            <v>407</v>
          </cell>
          <cell r="E896" t="str">
            <v>中能登町</v>
          </cell>
          <cell r="F896" t="str">
            <v>02</v>
          </cell>
          <cell r="G896" t="str">
            <v>特環 単独</v>
          </cell>
          <cell r="H896" t="str">
            <v>特定環境保全公共下水道</v>
          </cell>
          <cell r="I896" t="str">
            <v>単独</v>
          </cell>
          <cell r="J896" t="str">
            <v>002</v>
          </cell>
          <cell r="K896" t="str">
            <v>鹿西中部浄化センター</v>
          </cell>
          <cell r="M896" t="str">
            <v>1</v>
          </cell>
          <cell r="N896" t="str">
            <v>1</v>
          </cell>
          <cell r="Q896">
            <v>34243</v>
          </cell>
          <cell r="R896" t="str">
            <v>平成</v>
          </cell>
          <cell r="S896">
            <v>5</v>
          </cell>
          <cell r="T896">
            <v>10</v>
          </cell>
          <cell r="AB896">
            <v>5000</v>
          </cell>
          <cell r="AC896" t="str">
            <v>長曽川</v>
          </cell>
          <cell r="AF896">
            <v>15</v>
          </cell>
          <cell r="AG896">
            <v>20</v>
          </cell>
          <cell r="AJ896" t="str">
            <v>長曽川</v>
          </cell>
          <cell r="AL896" t="str">
            <v>中能登町上水道取水口</v>
          </cell>
          <cell r="AM896">
            <v>10</v>
          </cell>
          <cell r="AO896" t="str">
            <v>中能登町</v>
          </cell>
          <cell r="AQ896" t="str">
            <v/>
          </cell>
          <cell r="AR896" t="str">
            <v>オキシディションディッチ法</v>
          </cell>
          <cell r="AS896" t="str">
            <v>1740702002</v>
          </cell>
          <cell r="AT896" t="str">
            <v/>
          </cell>
          <cell r="AU896" t="str">
            <v>10</v>
          </cell>
          <cell r="AV896" t="str">
            <v>10</v>
          </cell>
          <cell r="AW896">
            <v>0</v>
          </cell>
          <cell r="AX896">
            <v>0</v>
          </cell>
          <cell r="AY896">
            <v>0</v>
          </cell>
          <cell r="AZ896">
            <v>0</v>
          </cell>
          <cell r="BA896">
            <v>0</v>
          </cell>
          <cell r="BD896" t="str">
            <v/>
          </cell>
          <cell r="BE896">
            <v>1</v>
          </cell>
          <cell r="BG896" t="str">
            <v>1100</v>
          </cell>
        </row>
        <row r="897">
          <cell r="B897" t="str">
            <v>G174070206100300</v>
          </cell>
          <cell r="C897" t="str">
            <v>17.石川県</v>
          </cell>
          <cell r="D897" t="str">
            <v>407</v>
          </cell>
          <cell r="E897" t="str">
            <v>中能登町</v>
          </cell>
          <cell r="F897" t="str">
            <v>02</v>
          </cell>
          <cell r="G897" t="str">
            <v>特環 単独</v>
          </cell>
          <cell r="H897" t="str">
            <v>特定環境保全公共下水道</v>
          </cell>
          <cell r="I897" t="str">
            <v>単独</v>
          </cell>
          <cell r="J897" t="str">
            <v>003</v>
          </cell>
          <cell r="K897" t="str">
            <v>鳥屋南部浄化センター</v>
          </cell>
          <cell r="M897" t="str">
            <v>1</v>
          </cell>
          <cell r="N897" t="str">
            <v>1</v>
          </cell>
          <cell r="Q897">
            <v>35765</v>
          </cell>
          <cell r="R897" t="str">
            <v>平成</v>
          </cell>
          <cell r="S897">
            <v>9</v>
          </cell>
          <cell r="T897">
            <v>12</v>
          </cell>
          <cell r="AB897">
            <v>11300</v>
          </cell>
          <cell r="AC897" t="str">
            <v>長曽川</v>
          </cell>
          <cell r="AD897" t="str">
            <v>Ｂ-Ⅰ</v>
          </cell>
          <cell r="AF897">
            <v>15</v>
          </cell>
          <cell r="AG897">
            <v>20</v>
          </cell>
          <cell r="AJ897" t="str">
            <v>長曽川</v>
          </cell>
          <cell r="AL897" t="str">
            <v>中能登町上水道取水口</v>
          </cell>
          <cell r="AM897">
            <v>10</v>
          </cell>
          <cell r="AO897" t="str">
            <v>中能登町</v>
          </cell>
          <cell r="AQ897" t="str">
            <v/>
          </cell>
          <cell r="AR897" t="str">
            <v>オキシディションディッチ法</v>
          </cell>
          <cell r="AS897" t="str">
            <v>1740702003</v>
          </cell>
          <cell r="AT897" t="str">
            <v/>
          </cell>
          <cell r="AU897" t="str">
            <v>10</v>
          </cell>
          <cell r="AV897" t="str">
            <v>10</v>
          </cell>
          <cell r="AW897">
            <v>0</v>
          </cell>
          <cell r="AX897">
            <v>0</v>
          </cell>
          <cell r="AY897">
            <v>0</v>
          </cell>
          <cell r="AZ897">
            <v>0</v>
          </cell>
          <cell r="BA897">
            <v>0</v>
          </cell>
          <cell r="BD897" t="str">
            <v/>
          </cell>
          <cell r="BE897">
            <v>1</v>
          </cell>
          <cell r="BG897" t="str">
            <v>1100</v>
          </cell>
        </row>
        <row r="898">
          <cell r="B898" t="str">
            <v>G174070206100400</v>
          </cell>
          <cell r="C898" t="str">
            <v>17.石川県</v>
          </cell>
          <cell r="D898" t="str">
            <v>407</v>
          </cell>
          <cell r="E898" t="str">
            <v>中能登町</v>
          </cell>
          <cell r="F898" t="str">
            <v>02</v>
          </cell>
          <cell r="G898" t="str">
            <v>特環 単独</v>
          </cell>
          <cell r="H898" t="str">
            <v>特定環境保全公共下水道</v>
          </cell>
          <cell r="I898" t="str">
            <v>単独</v>
          </cell>
          <cell r="J898" t="str">
            <v>004</v>
          </cell>
          <cell r="K898" t="str">
            <v>鳥屋北部浄化センター</v>
          </cell>
          <cell r="M898" t="str">
            <v>1</v>
          </cell>
          <cell r="N898" t="str">
            <v>1</v>
          </cell>
          <cell r="Q898">
            <v>36951</v>
          </cell>
          <cell r="R898" t="str">
            <v>平成</v>
          </cell>
          <cell r="S898">
            <v>13</v>
          </cell>
          <cell r="T898">
            <v>3</v>
          </cell>
          <cell r="AB898">
            <v>6400</v>
          </cell>
          <cell r="AC898" t="str">
            <v>七尾西湾</v>
          </cell>
          <cell r="AD898" t="str">
            <v>Ａ-1</v>
          </cell>
          <cell r="AF898">
            <v>15</v>
          </cell>
          <cell r="AG898">
            <v>20</v>
          </cell>
          <cell r="AJ898" t="str">
            <v>二宮川</v>
          </cell>
          <cell r="AL898" t="str">
            <v>中能登町上水道取水口</v>
          </cell>
          <cell r="AM898">
            <v>5</v>
          </cell>
          <cell r="AO898" t="str">
            <v>中能登町</v>
          </cell>
          <cell r="AQ898" t="str">
            <v/>
          </cell>
          <cell r="AR898" t="str">
            <v>オキシディションディッチ法</v>
          </cell>
          <cell r="AS898" t="str">
            <v>1740702004</v>
          </cell>
          <cell r="AT898" t="str">
            <v/>
          </cell>
          <cell r="AU898" t="str">
            <v>10</v>
          </cell>
          <cell r="AV898" t="str">
            <v>10</v>
          </cell>
          <cell r="AW898">
            <v>0</v>
          </cell>
          <cell r="AX898">
            <v>0</v>
          </cell>
          <cell r="AY898">
            <v>0</v>
          </cell>
          <cell r="AZ898">
            <v>0</v>
          </cell>
          <cell r="BA898">
            <v>0</v>
          </cell>
          <cell r="BD898" t="str">
            <v/>
          </cell>
          <cell r="BE898">
            <v>1</v>
          </cell>
          <cell r="BG898" t="str">
            <v>1100</v>
          </cell>
        </row>
        <row r="899">
          <cell r="B899" t="str">
            <v>G174070206100500</v>
          </cell>
          <cell r="C899" t="str">
            <v>17.石川県</v>
          </cell>
          <cell r="D899" t="str">
            <v>407</v>
          </cell>
          <cell r="E899" t="str">
            <v>中能登町</v>
          </cell>
          <cell r="F899" t="str">
            <v>02</v>
          </cell>
          <cell r="G899" t="str">
            <v>特環 単独</v>
          </cell>
          <cell r="H899" t="str">
            <v>特定環境保全公共下水道</v>
          </cell>
          <cell r="I899" t="str">
            <v>単独</v>
          </cell>
          <cell r="J899" t="str">
            <v>005</v>
          </cell>
          <cell r="K899" t="str">
            <v>鹿島東部クリーンセンター</v>
          </cell>
          <cell r="M899" t="str">
            <v>1</v>
          </cell>
          <cell r="N899" t="str">
            <v>1</v>
          </cell>
          <cell r="Q899">
            <v>37591</v>
          </cell>
          <cell r="R899" t="str">
            <v>平成</v>
          </cell>
          <cell r="S899">
            <v>14</v>
          </cell>
          <cell r="T899">
            <v>12</v>
          </cell>
          <cell r="AB899">
            <v>7000</v>
          </cell>
          <cell r="AC899" t="str">
            <v>七尾西湾</v>
          </cell>
          <cell r="AD899" t="str">
            <v>Ａ</v>
          </cell>
          <cell r="AE899" t="str">
            <v>イ</v>
          </cell>
          <cell r="AF899">
            <v>15</v>
          </cell>
          <cell r="AG899">
            <v>20</v>
          </cell>
          <cell r="AJ899" t="str">
            <v>二宮川</v>
          </cell>
          <cell r="AL899" t="str">
            <v>中能登町上水道取水口</v>
          </cell>
          <cell r="AM899">
            <v>5</v>
          </cell>
          <cell r="AO899" t="str">
            <v>中能登町</v>
          </cell>
          <cell r="AQ899" t="str">
            <v/>
          </cell>
          <cell r="AR899" t="str">
            <v>長時間エアレーション法</v>
          </cell>
          <cell r="AS899" t="str">
            <v>1740702005</v>
          </cell>
          <cell r="AT899" t="str">
            <v/>
          </cell>
          <cell r="AU899" t="str">
            <v>10</v>
          </cell>
          <cell r="AV899" t="str">
            <v>10</v>
          </cell>
          <cell r="AW899">
            <v>0</v>
          </cell>
          <cell r="AX899">
            <v>0</v>
          </cell>
          <cell r="AY899">
            <v>0</v>
          </cell>
          <cell r="AZ899">
            <v>0</v>
          </cell>
          <cell r="BA899">
            <v>0</v>
          </cell>
          <cell r="BD899" t="str">
            <v/>
          </cell>
          <cell r="BE899">
            <v>1</v>
          </cell>
          <cell r="BG899" t="str">
            <v>1100</v>
          </cell>
        </row>
        <row r="900">
          <cell r="B900" t="str">
            <v>G174610106100100</v>
          </cell>
          <cell r="C900" t="str">
            <v>17.石川県</v>
          </cell>
          <cell r="D900" t="str">
            <v>461</v>
          </cell>
          <cell r="E900" t="str">
            <v>穴水町</v>
          </cell>
          <cell r="F900" t="str">
            <v>01</v>
          </cell>
          <cell r="G900" t="str">
            <v>公共 単独</v>
          </cell>
          <cell r="H900" t="str">
            <v>公共下水道</v>
          </cell>
          <cell r="I900" t="str">
            <v>単独</v>
          </cell>
          <cell r="J900" t="str">
            <v>001</v>
          </cell>
          <cell r="K900" t="str">
            <v>穴水浄化センター</v>
          </cell>
          <cell r="M900" t="str">
            <v>1</v>
          </cell>
          <cell r="N900" t="str">
            <v>1</v>
          </cell>
          <cell r="Q900">
            <v>36617</v>
          </cell>
          <cell r="R900" t="str">
            <v>平成</v>
          </cell>
          <cell r="S900">
            <v>12</v>
          </cell>
          <cell r="T900">
            <v>4</v>
          </cell>
          <cell r="AB900">
            <v>16000</v>
          </cell>
          <cell r="AC900" t="str">
            <v>七尾北湾</v>
          </cell>
          <cell r="AD900" t="str">
            <v>Ａ</v>
          </cell>
          <cell r="AE900" t="str">
            <v>イ</v>
          </cell>
          <cell r="AF900">
            <v>15</v>
          </cell>
          <cell r="AI900" t="str">
            <v>七尾北湾</v>
          </cell>
          <cell r="AQ900" t="str">
            <v/>
          </cell>
          <cell r="AR900" t="str">
            <v>オキシディションディッチ法</v>
          </cell>
          <cell r="AS900" t="str">
            <v>1746101001</v>
          </cell>
          <cell r="AT900" t="str">
            <v/>
          </cell>
          <cell r="AU900" t="str">
            <v>10</v>
          </cell>
          <cell r="AV900" t="str">
            <v>10</v>
          </cell>
          <cell r="AW900">
            <v>0</v>
          </cell>
          <cell r="AX900">
            <v>0</v>
          </cell>
          <cell r="AY900">
            <v>0</v>
          </cell>
          <cell r="AZ900">
            <v>0</v>
          </cell>
          <cell r="BA900">
            <v>0</v>
          </cell>
          <cell r="BD900" t="str">
            <v/>
          </cell>
          <cell r="BE900">
            <v>1</v>
          </cell>
          <cell r="BG900" t="str">
            <v>1100</v>
          </cell>
        </row>
        <row r="901">
          <cell r="B901" t="str">
            <v>G174630106100100</v>
          </cell>
          <cell r="C901" t="str">
            <v>17.石川県</v>
          </cell>
          <cell r="D901" t="str">
            <v>463</v>
          </cell>
          <cell r="E901" t="str">
            <v>能登町</v>
          </cell>
          <cell r="F901" t="str">
            <v>01</v>
          </cell>
          <cell r="G901" t="str">
            <v>公共 単独</v>
          </cell>
          <cell r="H901" t="str">
            <v>公共下水道</v>
          </cell>
          <cell r="I901" t="str">
            <v>単独</v>
          </cell>
          <cell r="J901" t="str">
            <v>001</v>
          </cell>
          <cell r="K901" t="str">
            <v>小木浄化センター</v>
          </cell>
          <cell r="M901" t="str">
            <v>1</v>
          </cell>
          <cell r="N901" t="str">
            <v>1</v>
          </cell>
          <cell r="Q901">
            <v>38077</v>
          </cell>
          <cell r="R901" t="str">
            <v>平成</v>
          </cell>
          <cell r="S901">
            <v>16</v>
          </cell>
          <cell r="T901">
            <v>3</v>
          </cell>
          <cell r="AB901">
            <v>12000</v>
          </cell>
          <cell r="AC901" t="str">
            <v>能登半島沿岸</v>
          </cell>
          <cell r="AD901" t="str">
            <v>Ａ</v>
          </cell>
          <cell r="AE901" t="str">
            <v>イ</v>
          </cell>
          <cell r="AF901">
            <v>15</v>
          </cell>
          <cell r="AI901" t="str">
            <v>日本海</v>
          </cell>
          <cell r="AL901" t="str">
            <v>山口取水口</v>
          </cell>
          <cell r="AM901">
            <v>30</v>
          </cell>
          <cell r="AO901" t="str">
            <v>能登町</v>
          </cell>
          <cell r="AQ901" t="str">
            <v/>
          </cell>
          <cell r="AR901" t="str">
            <v>オキシディションディッチ法</v>
          </cell>
          <cell r="AS901" t="str">
            <v>1746301001</v>
          </cell>
          <cell r="AT901" t="str">
            <v/>
          </cell>
          <cell r="AU901" t="str">
            <v>10</v>
          </cell>
          <cell r="AV901" t="str">
            <v>10</v>
          </cell>
          <cell r="AW901">
            <v>0</v>
          </cell>
          <cell r="AX901">
            <v>0</v>
          </cell>
          <cell r="AY901">
            <v>0</v>
          </cell>
          <cell r="AZ901">
            <v>0</v>
          </cell>
          <cell r="BA901">
            <v>0</v>
          </cell>
          <cell r="BD901" t="str">
            <v/>
          </cell>
          <cell r="BE901">
            <v>1</v>
          </cell>
          <cell r="BG901" t="str">
            <v>1100</v>
          </cell>
        </row>
        <row r="902">
          <cell r="B902" t="str">
            <v>G174630206100200</v>
          </cell>
          <cell r="C902" t="str">
            <v>17.石川県</v>
          </cell>
          <cell r="D902" t="str">
            <v>463</v>
          </cell>
          <cell r="E902" t="str">
            <v>能登町</v>
          </cell>
          <cell r="F902" t="str">
            <v>02</v>
          </cell>
          <cell r="G902" t="str">
            <v>特環 単独</v>
          </cell>
          <cell r="H902" t="str">
            <v>特定環境保全公共下水道</v>
          </cell>
          <cell r="I902" t="str">
            <v>単独</v>
          </cell>
          <cell r="J902" t="str">
            <v>002</v>
          </cell>
          <cell r="K902" t="str">
            <v>恋路浄化センター</v>
          </cell>
          <cell r="M902" t="str">
            <v>1</v>
          </cell>
          <cell r="N902" t="str">
            <v>1</v>
          </cell>
          <cell r="Q902">
            <v>35885</v>
          </cell>
          <cell r="R902" t="str">
            <v>平成</v>
          </cell>
          <cell r="S902">
            <v>10</v>
          </cell>
          <cell r="T902">
            <v>3</v>
          </cell>
          <cell r="AB902">
            <v>1430</v>
          </cell>
          <cell r="AC902" t="str">
            <v>能登半島沿岸</v>
          </cell>
          <cell r="AD902" t="str">
            <v>Ａ</v>
          </cell>
          <cell r="AE902" t="str">
            <v>イ</v>
          </cell>
          <cell r="AF902">
            <v>15</v>
          </cell>
          <cell r="AI902" t="str">
            <v>日本海</v>
          </cell>
          <cell r="AL902" t="str">
            <v>山口取水口</v>
          </cell>
          <cell r="AM902">
            <v>18</v>
          </cell>
          <cell r="AO902" t="str">
            <v>能登町</v>
          </cell>
          <cell r="AQ902" t="str">
            <v/>
          </cell>
          <cell r="AR902" t="str">
            <v>オキシディションディッチ法</v>
          </cell>
          <cell r="AS902" t="str">
            <v>1746302002</v>
          </cell>
          <cell r="AT902" t="str">
            <v/>
          </cell>
          <cell r="AU902" t="str">
            <v>10</v>
          </cell>
          <cell r="AV902" t="str">
            <v>10</v>
          </cell>
          <cell r="AW902">
            <v>0</v>
          </cell>
          <cell r="AX902">
            <v>0</v>
          </cell>
          <cell r="AY902">
            <v>0</v>
          </cell>
          <cell r="AZ902">
            <v>0</v>
          </cell>
          <cell r="BA902">
            <v>0</v>
          </cell>
          <cell r="BD902" t="str">
            <v/>
          </cell>
          <cell r="BE902">
            <v>1</v>
          </cell>
          <cell r="BG902" t="str">
            <v>1100</v>
          </cell>
        </row>
        <row r="903">
          <cell r="B903" t="str">
            <v>G174630206100300</v>
          </cell>
          <cell r="C903" t="str">
            <v>17.石川県</v>
          </cell>
          <cell r="D903" t="str">
            <v>463</v>
          </cell>
          <cell r="E903" t="str">
            <v>能登町</v>
          </cell>
          <cell r="F903" t="str">
            <v>02</v>
          </cell>
          <cell r="G903" t="str">
            <v>特環 単独</v>
          </cell>
          <cell r="H903" t="str">
            <v>特定環境保全公共下水道</v>
          </cell>
          <cell r="I903" t="str">
            <v>単独</v>
          </cell>
          <cell r="J903" t="str">
            <v>003</v>
          </cell>
          <cell r="K903" t="str">
            <v>能都町水質浄化センター</v>
          </cell>
          <cell r="M903" t="str">
            <v>1</v>
          </cell>
          <cell r="N903" t="str">
            <v>1</v>
          </cell>
          <cell r="Q903">
            <v>36617</v>
          </cell>
          <cell r="R903" t="str">
            <v>平成</v>
          </cell>
          <cell r="S903">
            <v>12</v>
          </cell>
          <cell r="T903">
            <v>4</v>
          </cell>
          <cell r="AB903">
            <v>13000</v>
          </cell>
          <cell r="AC903" t="str">
            <v>能登半島沿岸</v>
          </cell>
          <cell r="AD903" t="str">
            <v>Ａ</v>
          </cell>
          <cell r="AE903" t="str">
            <v>イ</v>
          </cell>
          <cell r="AF903">
            <v>15</v>
          </cell>
          <cell r="AJ903" t="str">
            <v>薬師川</v>
          </cell>
          <cell r="AQ903" t="str">
            <v/>
          </cell>
          <cell r="AR903" t="str">
            <v>オキシディションディッチ法</v>
          </cell>
          <cell r="AS903" t="str">
            <v>1746302003</v>
          </cell>
          <cell r="AT903" t="str">
            <v/>
          </cell>
          <cell r="AU903" t="str">
            <v>10</v>
          </cell>
          <cell r="AV903" t="str">
            <v>10</v>
          </cell>
          <cell r="AW903">
            <v>0</v>
          </cell>
          <cell r="AX903">
            <v>0</v>
          </cell>
          <cell r="AY903">
            <v>0</v>
          </cell>
          <cell r="AZ903">
            <v>0</v>
          </cell>
          <cell r="BA903">
            <v>0</v>
          </cell>
          <cell r="BD903" t="str">
            <v/>
          </cell>
          <cell r="BE903">
            <v>1</v>
          </cell>
          <cell r="BG903" t="str">
            <v>1100</v>
          </cell>
        </row>
        <row r="904">
          <cell r="B904" t="str">
            <v>G174630206100400</v>
          </cell>
          <cell r="C904" t="str">
            <v>17.石川県</v>
          </cell>
          <cell r="D904" t="str">
            <v>463</v>
          </cell>
          <cell r="E904" t="str">
            <v>能登町</v>
          </cell>
          <cell r="F904" t="str">
            <v>02</v>
          </cell>
          <cell r="G904" t="str">
            <v>特環 単独</v>
          </cell>
          <cell r="H904" t="str">
            <v>特定環境保全公共下水道</v>
          </cell>
          <cell r="I904" t="str">
            <v>単独</v>
          </cell>
          <cell r="J904" t="str">
            <v>004</v>
          </cell>
          <cell r="K904" t="str">
            <v>松波浄化センター</v>
          </cell>
          <cell r="M904" t="str">
            <v>1</v>
          </cell>
          <cell r="N904" t="str">
            <v>1</v>
          </cell>
          <cell r="Q904">
            <v>39965</v>
          </cell>
          <cell r="R904" t="str">
            <v>平成</v>
          </cell>
          <cell r="S904">
            <v>21</v>
          </cell>
          <cell r="T904">
            <v>6</v>
          </cell>
          <cell r="AB904">
            <v>1570</v>
          </cell>
          <cell r="AC904" t="str">
            <v>能登半島沿岸</v>
          </cell>
          <cell r="AD904" t="str">
            <v>Ａ</v>
          </cell>
          <cell r="AE904" t="str">
            <v>イ</v>
          </cell>
          <cell r="AF904">
            <v>15</v>
          </cell>
          <cell r="AJ904" t="str">
            <v>松波川</v>
          </cell>
          <cell r="AO904" t="str">
            <v>能登町</v>
          </cell>
          <cell r="AQ904" t="str">
            <v/>
          </cell>
          <cell r="AR904" t="str">
            <v>オキシディションディッチ法</v>
          </cell>
          <cell r="AS904" t="str">
            <v>1746302004</v>
          </cell>
          <cell r="AT904" t="str">
            <v/>
          </cell>
          <cell r="AU904" t="str">
            <v>10</v>
          </cell>
          <cell r="AV904" t="str">
            <v>10</v>
          </cell>
          <cell r="AW904">
            <v>0</v>
          </cell>
          <cell r="AX904">
            <v>0</v>
          </cell>
          <cell r="AY904">
            <v>0</v>
          </cell>
          <cell r="AZ904">
            <v>0</v>
          </cell>
          <cell r="BA904">
            <v>0</v>
          </cell>
          <cell r="BD904" t="str">
            <v/>
          </cell>
          <cell r="BE904">
            <v>1</v>
          </cell>
          <cell r="BG904" t="str">
            <v>1100</v>
          </cell>
        </row>
        <row r="905">
          <cell r="B905" t="str">
            <v>G180018106100100</v>
          </cell>
          <cell r="C905" t="str">
            <v>18.福井県</v>
          </cell>
          <cell r="D905" t="str">
            <v>001</v>
          </cell>
          <cell r="E905" t="str">
            <v>九頭竜川流域</v>
          </cell>
          <cell r="F905" t="str">
            <v>81</v>
          </cell>
          <cell r="G905" t="str">
            <v>流域</v>
          </cell>
          <cell r="H905" t="str">
            <v>流域下水道</v>
          </cell>
          <cell r="I905" t="str">
            <v/>
          </cell>
          <cell r="J905" t="str">
            <v>001</v>
          </cell>
          <cell r="K905" t="str">
            <v>九頭竜川浄化センター</v>
          </cell>
          <cell r="M905" t="str">
            <v>1</v>
          </cell>
          <cell r="N905" t="str">
            <v>1</v>
          </cell>
          <cell r="Q905">
            <v>30133</v>
          </cell>
          <cell r="R905" t="str">
            <v>昭和</v>
          </cell>
          <cell r="S905">
            <v>57</v>
          </cell>
          <cell r="T905">
            <v>7</v>
          </cell>
          <cell r="AB905">
            <v>140000</v>
          </cell>
          <cell r="AC905" t="str">
            <v>九頭竜川下流</v>
          </cell>
          <cell r="AD905" t="str">
            <v>Ｂ</v>
          </cell>
          <cell r="AE905" t="str">
            <v>イ</v>
          </cell>
          <cell r="AF905">
            <v>15</v>
          </cell>
          <cell r="AK905" t="str">
            <v>九頭竜川</v>
          </cell>
          <cell r="AQ905" t="str">
            <v/>
          </cell>
          <cell r="AR905" t="str">
            <v>標準活性汚泥法</v>
          </cell>
          <cell r="AS905" t="str">
            <v>1800181001</v>
          </cell>
          <cell r="AT905" t="str">
            <v/>
          </cell>
          <cell r="AU905" t="str">
            <v>10</v>
          </cell>
          <cell r="AV905" t="str">
            <v>10</v>
          </cell>
          <cell r="AW905">
            <v>0</v>
          </cell>
          <cell r="AX905">
            <v>0</v>
          </cell>
          <cell r="AY905">
            <v>0</v>
          </cell>
          <cell r="AZ905">
            <v>0</v>
          </cell>
          <cell r="BA905">
            <v>0</v>
          </cell>
          <cell r="BD905" t="str">
            <v/>
          </cell>
          <cell r="BE905">
            <v>1</v>
          </cell>
          <cell r="BG905" t="str">
            <v>1100</v>
          </cell>
        </row>
        <row r="906">
          <cell r="B906" t="str">
            <v>G180210306100100</v>
          </cell>
          <cell r="C906" t="str">
            <v>18.福井県</v>
          </cell>
          <cell r="D906" t="str">
            <v>021</v>
          </cell>
          <cell r="E906" t="str">
            <v>福井臨海都市</v>
          </cell>
          <cell r="F906" t="str">
            <v>03</v>
          </cell>
          <cell r="G906" t="str">
            <v>特定 単独</v>
          </cell>
          <cell r="H906" t="str">
            <v>特定公共下水道</v>
          </cell>
          <cell r="I906" t="str">
            <v>単独</v>
          </cell>
          <cell r="J906" t="str">
            <v>001</v>
          </cell>
          <cell r="K906" t="str">
            <v>テクノポート福井浄化センター</v>
          </cell>
          <cell r="M906" t="str">
            <v>1</v>
          </cell>
          <cell r="N906" t="str">
            <v>1</v>
          </cell>
          <cell r="Q906">
            <v>34304</v>
          </cell>
          <cell r="R906" t="str">
            <v>平成</v>
          </cell>
          <cell r="S906">
            <v>5</v>
          </cell>
          <cell r="T906">
            <v>12</v>
          </cell>
          <cell r="AB906">
            <v>80000</v>
          </cell>
          <cell r="AC906" t="str">
            <v>九頭竜川地先（乙）</v>
          </cell>
          <cell r="AD906" t="str">
            <v>Ｂ</v>
          </cell>
          <cell r="AE906" t="str">
            <v>イ</v>
          </cell>
          <cell r="AI906" t="str">
            <v>日本海</v>
          </cell>
          <cell r="AQ906" t="str">
            <v/>
          </cell>
          <cell r="AR906" t="str">
            <v>長時間エアレーション法</v>
          </cell>
          <cell r="AS906" t="str">
            <v>1802103001</v>
          </cell>
          <cell r="AT906" t="str">
            <v/>
          </cell>
          <cell r="AU906" t="str">
            <v>10</v>
          </cell>
          <cell r="AV906" t="str">
            <v>10</v>
          </cell>
          <cell r="AW906">
            <v>0</v>
          </cell>
          <cell r="AX906">
            <v>0</v>
          </cell>
          <cell r="AY906">
            <v>0</v>
          </cell>
          <cell r="AZ906">
            <v>0</v>
          </cell>
          <cell r="BA906">
            <v>0</v>
          </cell>
          <cell r="BD906" t="str">
            <v/>
          </cell>
          <cell r="BE906">
            <v>1</v>
          </cell>
          <cell r="BG906" t="str">
            <v>1100</v>
          </cell>
        </row>
        <row r="907">
          <cell r="B907" t="str">
            <v>G182010106100100</v>
          </cell>
          <cell r="C907" t="str">
            <v>18.福井県</v>
          </cell>
          <cell r="D907" t="str">
            <v>201</v>
          </cell>
          <cell r="E907" t="str">
            <v>福井市</v>
          </cell>
          <cell r="F907" t="str">
            <v>01</v>
          </cell>
          <cell r="G907" t="str">
            <v>公共 単独</v>
          </cell>
          <cell r="H907" t="str">
            <v>公共下水道</v>
          </cell>
          <cell r="I907" t="str">
            <v>単独</v>
          </cell>
          <cell r="J907" t="str">
            <v>001</v>
          </cell>
          <cell r="K907" t="str">
            <v>境浄化センター</v>
          </cell>
          <cell r="M907" t="str">
            <v>1</v>
          </cell>
          <cell r="Q907">
            <v>21641</v>
          </cell>
          <cell r="R907" t="str">
            <v>昭和</v>
          </cell>
          <cell r="S907">
            <v>34</v>
          </cell>
          <cell r="T907">
            <v>4</v>
          </cell>
          <cell r="U907" t="str">
            <v>名称変更</v>
          </cell>
          <cell r="V907">
            <v>22737</v>
          </cell>
          <cell r="W907" t="str">
            <v>昭和</v>
          </cell>
          <cell r="X907">
            <v>37</v>
          </cell>
          <cell r="Y907">
            <v>4</v>
          </cell>
          <cell r="Z907" t="str">
            <v>下水簡易処理場</v>
          </cell>
          <cell r="AA907" t="str">
            <v>下水中期処理場</v>
          </cell>
          <cell r="AB907">
            <v>36400</v>
          </cell>
          <cell r="AC907" t="str">
            <v>九頭竜川</v>
          </cell>
          <cell r="AD907" t="str">
            <v>Ａ</v>
          </cell>
          <cell r="AF907">
            <v>15</v>
          </cell>
          <cell r="AK907" t="str">
            <v>底喰川</v>
          </cell>
          <cell r="AQ907" t="str">
            <v/>
          </cell>
          <cell r="AR907" t="str">
            <v>標準活性汚泥法</v>
          </cell>
          <cell r="AS907" t="str">
            <v>1820101001</v>
          </cell>
          <cell r="AT907">
            <v>1</v>
          </cell>
          <cell r="AU907" t="str">
            <v>00</v>
          </cell>
          <cell r="AV907" t="str">
            <v>00</v>
          </cell>
          <cell r="AW907">
            <v>0</v>
          </cell>
          <cell r="AX907">
            <v>0</v>
          </cell>
          <cell r="AY907">
            <v>0</v>
          </cell>
          <cell r="AZ907">
            <v>0</v>
          </cell>
          <cell r="BA907">
            <v>0</v>
          </cell>
          <cell r="BD907" t="str">
            <v/>
          </cell>
          <cell r="BE907">
            <v>1</v>
          </cell>
          <cell r="BG907" t="str">
            <v>1000</v>
          </cell>
        </row>
        <row r="908">
          <cell r="B908" t="str">
            <v>G182010106100200</v>
          </cell>
          <cell r="C908" t="str">
            <v>18.福井県</v>
          </cell>
          <cell r="D908" t="str">
            <v>201</v>
          </cell>
          <cell r="E908" t="str">
            <v>福井市</v>
          </cell>
          <cell r="F908" t="str">
            <v>01</v>
          </cell>
          <cell r="G908" t="str">
            <v>公共 単独</v>
          </cell>
          <cell r="H908" t="str">
            <v>公共下水道</v>
          </cell>
          <cell r="I908" t="str">
            <v>単独</v>
          </cell>
          <cell r="J908" t="str">
            <v>002</v>
          </cell>
          <cell r="K908" t="str">
            <v>清水東部環境センター</v>
          </cell>
          <cell r="M908" t="str">
            <v>1</v>
          </cell>
          <cell r="N908" t="str">
            <v>1</v>
          </cell>
          <cell r="Q908">
            <v>26877</v>
          </cell>
          <cell r="R908" t="str">
            <v>昭和</v>
          </cell>
          <cell r="S908">
            <v>48</v>
          </cell>
          <cell r="T908">
            <v>8</v>
          </cell>
          <cell r="U908" t="str">
            <v>名称変更</v>
          </cell>
          <cell r="V908">
            <v>38749</v>
          </cell>
          <cell r="W908" t="str">
            <v>平成</v>
          </cell>
          <cell r="X908">
            <v>18</v>
          </cell>
          <cell r="Y908">
            <v>2</v>
          </cell>
          <cell r="Z908" t="str">
            <v>清水公共下水道</v>
          </cell>
          <cell r="AB908">
            <v>11000</v>
          </cell>
          <cell r="AC908" t="str">
            <v>九頭竜川</v>
          </cell>
          <cell r="AD908" t="str">
            <v>Ａ</v>
          </cell>
          <cell r="AF908">
            <v>20</v>
          </cell>
          <cell r="AI908" t="str">
            <v>片粕排水路</v>
          </cell>
          <cell r="AK908" t="str">
            <v>日野川</v>
          </cell>
          <cell r="AP908" t="str">
            <v>ＢＯＤ認可値</v>
          </cell>
          <cell r="AQ908" t="str">
            <v/>
          </cell>
          <cell r="AR908" t="str">
            <v>オキシディションディッチ法</v>
          </cell>
          <cell r="AS908" t="str">
            <v>1820101002</v>
          </cell>
          <cell r="AT908" t="str">
            <v/>
          </cell>
          <cell r="AU908" t="str">
            <v>10</v>
          </cell>
          <cell r="AV908" t="str">
            <v>10</v>
          </cell>
          <cell r="AW908">
            <v>0</v>
          </cell>
          <cell r="AX908">
            <v>0</v>
          </cell>
          <cell r="AY908">
            <v>0</v>
          </cell>
          <cell r="AZ908">
            <v>0</v>
          </cell>
          <cell r="BA908">
            <v>0</v>
          </cell>
          <cell r="BD908" t="str">
            <v/>
          </cell>
          <cell r="BE908">
            <v>1</v>
          </cell>
          <cell r="BG908" t="str">
            <v>1100</v>
          </cell>
        </row>
        <row r="909">
          <cell r="B909" t="str">
            <v>G182010106100300</v>
          </cell>
          <cell r="C909" t="str">
            <v>18.福井県</v>
          </cell>
          <cell r="D909" t="str">
            <v>201</v>
          </cell>
          <cell r="E909" t="str">
            <v>福井市</v>
          </cell>
          <cell r="F909" t="str">
            <v>01</v>
          </cell>
          <cell r="G909" t="str">
            <v>公共 単独</v>
          </cell>
          <cell r="H909" t="str">
            <v>公共下水道</v>
          </cell>
          <cell r="I909" t="str">
            <v>単独</v>
          </cell>
          <cell r="J909" t="str">
            <v>003</v>
          </cell>
          <cell r="K909" t="str">
            <v>日野川浄化センター</v>
          </cell>
          <cell r="M909" t="str">
            <v>1</v>
          </cell>
          <cell r="N909" t="str">
            <v>1</v>
          </cell>
          <cell r="P909" t="str">
            <v>1</v>
          </cell>
          <cell r="Q909">
            <v>31321</v>
          </cell>
          <cell r="R909" t="str">
            <v>昭和</v>
          </cell>
          <cell r="S909">
            <v>60</v>
          </cell>
          <cell r="T909">
            <v>10</v>
          </cell>
          <cell r="AB909">
            <v>99400</v>
          </cell>
          <cell r="AC909" t="str">
            <v>九頭竜川</v>
          </cell>
          <cell r="AD909" t="str">
            <v>Ａ</v>
          </cell>
          <cell r="AF909">
            <v>15</v>
          </cell>
          <cell r="AK909" t="str">
            <v>日野川</v>
          </cell>
          <cell r="AQ909" t="str">
            <v/>
          </cell>
          <cell r="AR909" t="str">
            <v>標準活性汚泥法</v>
          </cell>
          <cell r="AS909" t="str">
            <v>1820101003</v>
          </cell>
          <cell r="AT909" t="str">
            <v/>
          </cell>
          <cell r="AU909" t="str">
            <v>10</v>
          </cell>
          <cell r="AV909" t="str">
            <v>10</v>
          </cell>
          <cell r="AW909">
            <v>1</v>
          </cell>
          <cell r="AX909">
            <v>0</v>
          </cell>
          <cell r="AY909">
            <v>0</v>
          </cell>
          <cell r="AZ909">
            <v>0</v>
          </cell>
          <cell r="BA909">
            <v>0</v>
          </cell>
          <cell r="BD909" t="str">
            <v/>
          </cell>
          <cell r="BE909">
            <v>1</v>
          </cell>
          <cell r="BG909" t="str">
            <v>1101</v>
          </cell>
        </row>
        <row r="910">
          <cell r="B910" t="str">
            <v>G182010206100400</v>
          </cell>
          <cell r="C910" t="str">
            <v>18.福井県</v>
          </cell>
          <cell r="D910" t="str">
            <v>201</v>
          </cell>
          <cell r="E910" t="str">
            <v>福井市</v>
          </cell>
          <cell r="F910" t="str">
            <v>02</v>
          </cell>
          <cell r="G910" t="str">
            <v>特環 単独</v>
          </cell>
          <cell r="H910" t="str">
            <v>特定環境保全公共下水道</v>
          </cell>
          <cell r="I910" t="str">
            <v>単独</v>
          </cell>
          <cell r="J910" t="str">
            <v>004</v>
          </cell>
          <cell r="K910" t="str">
            <v>清水西部環境センター</v>
          </cell>
          <cell r="M910" t="str">
            <v>1</v>
          </cell>
          <cell r="N910" t="str">
            <v>1</v>
          </cell>
          <cell r="Q910">
            <v>34394</v>
          </cell>
          <cell r="R910" t="str">
            <v>平成</v>
          </cell>
          <cell r="S910">
            <v>6</v>
          </cell>
          <cell r="T910">
            <v>3</v>
          </cell>
          <cell r="U910" t="str">
            <v>名称変更</v>
          </cell>
          <cell r="V910">
            <v>38749</v>
          </cell>
          <cell r="W910" t="str">
            <v>平成</v>
          </cell>
          <cell r="X910">
            <v>18</v>
          </cell>
          <cell r="Y910">
            <v>2</v>
          </cell>
          <cell r="Z910" t="str">
            <v>清水町公共下水道</v>
          </cell>
          <cell r="AB910">
            <v>12034</v>
          </cell>
          <cell r="AC910" t="str">
            <v>九頭竜川</v>
          </cell>
          <cell r="AD910" t="str">
            <v>Ａ</v>
          </cell>
          <cell r="AF910">
            <v>20</v>
          </cell>
          <cell r="AI910" t="str">
            <v>鳴谷川</v>
          </cell>
          <cell r="AK910" t="str">
            <v>日野川</v>
          </cell>
          <cell r="AP910" t="str">
            <v>ＢＯＤ認可値</v>
          </cell>
          <cell r="AQ910" t="str">
            <v/>
          </cell>
          <cell r="AR910" t="str">
            <v>オキシディションディッチ法</v>
          </cell>
          <cell r="AS910" t="str">
            <v>1820102004</v>
          </cell>
          <cell r="AT910" t="str">
            <v/>
          </cell>
          <cell r="AU910" t="str">
            <v>10</v>
          </cell>
          <cell r="AV910" t="str">
            <v>10</v>
          </cell>
          <cell r="AW910">
            <v>0</v>
          </cell>
          <cell r="AX910">
            <v>0</v>
          </cell>
          <cell r="AY910">
            <v>0</v>
          </cell>
          <cell r="AZ910">
            <v>0</v>
          </cell>
          <cell r="BA910">
            <v>0</v>
          </cell>
          <cell r="BD910" t="str">
            <v/>
          </cell>
          <cell r="BE910">
            <v>1</v>
          </cell>
          <cell r="BG910" t="str">
            <v>1100</v>
          </cell>
        </row>
        <row r="911">
          <cell r="B911" t="str">
            <v>G182010206100500</v>
          </cell>
          <cell r="C911" t="str">
            <v>18.福井県</v>
          </cell>
          <cell r="D911" t="str">
            <v>201</v>
          </cell>
          <cell r="E911" t="str">
            <v>福井市</v>
          </cell>
          <cell r="F911" t="str">
            <v>02</v>
          </cell>
          <cell r="G911" t="str">
            <v>特環 単独</v>
          </cell>
          <cell r="H911" t="str">
            <v>特定環境保全公共下水道</v>
          </cell>
          <cell r="I911" t="str">
            <v>単独</v>
          </cell>
          <cell r="J911" t="str">
            <v>005</v>
          </cell>
          <cell r="K911" t="str">
            <v>鷹巣浄化センター</v>
          </cell>
          <cell r="M911" t="str">
            <v>1</v>
          </cell>
          <cell r="N911" t="str">
            <v>1</v>
          </cell>
          <cell r="Q911">
            <v>35886</v>
          </cell>
          <cell r="R911" t="str">
            <v>平成</v>
          </cell>
          <cell r="S911">
            <v>10</v>
          </cell>
          <cell r="T911">
            <v>4</v>
          </cell>
          <cell r="AB911">
            <v>16130</v>
          </cell>
          <cell r="AF911">
            <v>20</v>
          </cell>
          <cell r="AI911" t="str">
            <v>二枚田川・和布川</v>
          </cell>
          <cell r="AP911" t="str">
            <v>ＢＯＤ認可値</v>
          </cell>
          <cell r="AQ911" t="str">
            <v/>
          </cell>
          <cell r="AR911" t="str">
            <v>オキシディションディッチ法</v>
          </cell>
          <cell r="AS911" t="str">
            <v>1820102005</v>
          </cell>
          <cell r="AT911" t="str">
            <v/>
          </cell>
          <cell r="AU911" t="str">
            <v>10</v>
          </cell>
          <cell r="AV911" t="str">
            <v>10</v>
          </cell>
          <cell r="AW911">
            <v>0</v>
          </cell>
          <cell r="AX911">
            <v>0</v>
          </cell>
          <cell r="AY911">
            <v>0</v>
          </cell>
          <cell r="AZ911">
            <v>0</v>
          </cell>
          <cell r="BA911">
            <v>0</v>
          </cell>
          <cell r="BD911" t="str">
            <v/>
          </cell>
          <cell r="BE911">
            <v>1</v>
          </cell>
          <cell r="BG911" t="str">
            <v>1100</v>
          </cell>
        </row>
        <row r="912">
          <cell r="B912" t="str">
            <v>G182010206100600</v>
          </cell>
          <cell r="C912" t="str">
            <v>18.福井県</v>
          </cell>
          <cell r="D912" t="str">
            <v>201</v>
          </cell>
          <cell r="E912" t="str">
            <v>福井市</v>
          </cell>
          <cell r="F912" t="str">
            <v>02</v>
          </cell>
          <cell r="G912" t="str">
            <v>特環 単独</v>
          </cell>
          <cell r="H912" t="str">
            <v>特定環境保全公共下水道</v>
          </cell>
          <cell r="I912" t="str">
            <v>単独</v>
          </cell>
          <cell r="J912" t="str">
            <v>006</v>
          </cell>
          <cell r="K912" t="str">
            <v>羽生浄化センター</v>
          </cell>
          <cell r="M912" t="str">
            <v>1</v>
          </cell>
          <cell r="N912" t="str">
            <v>1</v>
          </cell>
          <cell r="Q912">
            <v>37347</v>
          </cell>
          <cell r="R912" t="str">
            <v>平成</v>
          </cell>
          <cell r="S912">
            <v>14</v>
          </cell>
          <cell r="T912">
            <v>4</v>
          </cell>
          <cell r="U912" t="str">
            <v>名称変更</v>
          </cell>
          <cell r="V912">
            <v>38749</v>
          </cell>
          <cell r="W912" t="str">
            <v>平成</v>
          </cell>
          <cell r="X912">
            <v>18</v>
          </cell>
          <cell r="Y912">
            <v>2</v>
          </cell>
          <cell r="Z912" t="str">
            <v>美山町公共下水道</v>
          </cell>
          <cell r="AB912">
            <v>1337</v>
          </cell>
          <cell r="AF912">
            <v>15</v>
          </cell>
          <cell r="AK912" t="str">
            <v>羽生川</v>
          </cell>
          <cell r="AQ912" t="str">
            <v/>
          </cell>
          <cell r="AR912" t="str">
            <v>オキシディションディッチ法</v>
          </cell>
          <cell r="AS912" t="str">
            <v>1820102006</v>
          </cell>
          <cell r="AT912" t="str">
            <v/>
          </cell>
          <cell r="AU912" t="str">
            <v>10</v>
          </cell>
          <cell r="AV912" t="str">
            <v>10</v>
          </cell>
          <cell r="AW912">
            <v>0</v>
          </cell>
          <cell r="AX912">
            <v>0</v>
          </cell>
          <cell r="AY912">
            <v>0</v>
          </cell>
          <cell r="AZ912">
            <v>0</v>
          </cell>
          <cell r="BA912">
            <v>0</v>
          </cell>
          <cell r="BD912" t="str">
            <v/>
          </cell>
          <cell r="BE912">
            <v>1</v>
          </cell>
          <cell r="BG912" t="str">
            <v>1100</v>
          </cell>
        </row>
        <row r="913">
          <cell r="B913" t="str">
            <v>G182010206100700</v>
          </cell>
          <cell r="C913" t="str">
            <v>18.福井県</v>
          </cell>
          <cell r="D913" t="str">
            <v>201</v>
          </cell>
          <cell r="E913" t="str">
            <v>福井市</v>
          </cell>
          <cell r="F913" t="str">
            <v>02</v>
          </cell>
          <cell r="G913" t="str">
            <v>特環 単独</v>
          </cell>
          <cell r="H913" t="str">
            <v>特定環境保全公共下水道</v>
          </cell>
          <cell r="I913" t="str">
            <v>単独</v>
          </cell>
          <cell r="J913" t="str">
            <v>007</v>
          </cell>
          <cell r="K913" t="str">
            <v>美山浄化センター</v>
          </cell>
          <cell r="M913" t="str">
            <v>1</v>
          </cell>
          <cell r="N913" t="str">
            <v>1</v>
          </cell>
          <cell r="Q913">
            <v>39539</v>
          </cell>
          <cell r="R913" t="str">
            <v>平成</v>
          </cell>
          <cell r="S913">
            <v>20</v>
          </cell>
          <cell r="T913">
            <v>4</v>
          </cell>
          <cell r="AB913">
            <v>2313</v>
          </cell>
          <cell r="AC913" t="str">
            <v>九頭竜川</v>
          </cell>
          <cell r="AD913" t="str">
            <v>Ａ</v>
          </cell>
          <cell r="AF913">
            <v>15</v>
          </cell>
          <cell r="AK913" t="str">
            <v>足羽川</v>
          </cell>
          <cell r="AQ913" t="str">
            <v/>
          </cell>
          <cell r="AR913" t="str">
            <v>オキシディションディッチ法</v>
          </cell>
          <cell r="AS913" t="str">
            <v>1820102007</v>
          </cell>
          <cell r="AT913" t="str">
            <v/>
          </cell>
          <cell r="AU913" t="str">
            <v>10</v>
          </cell>
          <cell r="AV913" t="str">
            <v>10</v>
          </cell>
          <cell r="AW913">
            <v>0</v>
          </cell>
          <cell r="AX913">
            <v>0</v>
          </cell>
          <cell r="AY913">
            <v>0</v>
          </cell>
          <cell r="AZ913">
            <v>0</v>
          </cell>
          <cell r="BA913">
            <v>0</v>
          </cell>
          <cell r="BD913" t="str">
            <v/>
          </cell>
          <cell r="BE913">
            <v>1</v>
          </cell>
          <cell r="BG913" t="str">
            <v>1100</v>
          </cell>
        </row>
        <row r="914">
          <cell r="B914" t="str">
            <v>G182020106100100</v>
          </cell>
          <cell r="C914" t="str">
            <v>18.福井県</v>
          </cell>
          <cell r="D914" t="str">
            <v>202</v>
          </cell>
          <cell r="E914" t="str">
            <v>敦賀市</v>
          </cell>
          <cell r="F914" t="str">
            <v>01</v>
          </cell>
          <cell r="G914" t="str">
            <v>公共 単独</v>
          </cell>
          <cell r="H914" t="str">
            <v>公共下水道</v>
          </cell>
          <cell r="I914" t="str">
            <v>単独</v>
          </cell>
          <cell r="J914" t="str">
            <v>001</v>
          </cell>
          <cell r="K914" t="str">
            <v>天筒浄化センター</v>
          </cell>
          <cell r="M914" t="str">
            <v>1</v>
          </cell>
          <cell r="N914" t="str">
            <v>1</v>
          </cell>
          <cell r="Q914">
            <v>30498</v>
          </cell>
          <cell r="R914" t="str">
            <v>昭和</v>
          </cell>
          <cell r="S914">
            <v>58</v>
          </cell>
          <cell r="T914">
            <v>7</v>
          </cell>
          <cell r="AB914">
            <v>69550</v>
          </cell>
          <cell r="AC914" t="str">
            <v>敦賀湾（乙）</v>
          </cell>
          <cell r="AD914" t="str">
            <v>Ｂ</v>
          </cell>
          <cell r="AF914">
            <v>15</v>
          </cell>
          <cell r="AG914">
            <v>13.6</v>
          </cell>
          <cell r="AH914">
            <v>3</v>
          </cell>
          <cell r="AI914" t="str">
            <v>金ヶ崎幹線（雨水）</v>
          </cell>
          <cell r="AQ914" t="str">
            <v/>
          </cell>
          <cell r="AR914" t="str">
            <v>標準活性汚泥法</v>
          </cell>
          <cell r="AS914" t="str">
            <v>1820201001</v>
          </cell>
          <cell r="AT914" t="str">
            <v/>
          </cell>
          <cell r="AU914" t="str">
            <v>10</v>
          </cell>
          <cell r="AV914" t="str">
            <v>10</v>
          </cell>
          <cell r="AW914">
            <v>0</v>
          </cell>
          <cell r="AX914">
            <v>0</v>
          </cell>
          <cell r="AY914">
            <v>0</v>
          </cell>
          <cell r="AZ914">
            <v>0</v>
          </cell>
          <cell r="BA914">
            <v>0</v>
          </cell>
          <cell r="BD914" t="str">
            <v/>
          </cell>
          <cell r="BE914">
            <v>1</v>
          </cell>
          <cell r="BG914" t="str">
            <v>1100</v>
          </cell>
        </row>
        <row r="915">
          <cell r="B915" t="str">
            <v>G182040106100100</v>
          </cell>
          <cell r="C915" t="str">
            <v>18.福井県</v>
          </cell>
          <cell r="D915" t="str">
            <v>204</v>
          </cell>
          <cell r="E915" t="str">
            <v>小浜市</v>
          </cell>
          <cell r="F915" t="str">
            <v>01</v>
          </cell>
          <cell r="G915" t="str">
            <v>公共 単独</v>
          </cell>
          <cell r="H915" t="str">
            <v>公共下水道</v>
          </cell>
          <cell r="I915" t="str">
            <v>単独</v>
          </cell>
          <cell r="J915" t="str">
            <v>001</v>
          </cell>
          <cell r="K915" t="str">
            <v>小浜市浄化センター</v>
          </cell>
          <cell r="M915" t="str">
            <v>1</v>
          </cell>
          <cell r="N915" t="str">
            <v>1</v>
          </cell>
          <cell r="Q915">
            <v>33298</v>
          </cell>
          <cell r="R915" t="str">
            <v>平成</v>
          </cell>
          <cell r="S915">
            <v>3</v>
          </cell>
          <cell r="T915">
            <v>3</v>
          </cell>
          <cell r="AB915">
            <v>18493</v>
          </cell>
          <cell r="AC915" t="str">
            <v>小浜湾</v>
          </cell>
          <cell r="AD915" t="str">
            <v>Ａ-Ⅱ</v>
          </cell>
          <cell r="AE915" t="str">
            <v>イ</v>
          </cell>
          <cell r="AI915" t="str">
            <v>小浜湾</v>
          </cell>
          <cell r="AQ915" t="str">
            <v/>
          </cell>
          <cell r="AR915" t="str">
            <v>標準活性汚泥法</v>
          </cell>
          <cell r="AS915" t="str">
            <v>1820401001</v>
          </cell>
          <cell r="AT915" t="str">
            <v/>
          </cell>
          <cell r="AU915" t="str">
            <v>10</v>
          </cell>
          <cell r="AV915" t="str">
            <v>10</v>
          </cell>
          <cell r="AW915">
            <v>0</v>
          </cell>
          <cell r="AX915">
            <v>0</v>
          </cell>
          <cell r="AY915">
            <v>0</v>
          </cell>
          <cell r="AZ915">
            <v>0</v>
          </cell>
          <cell r="BA915">
            <v>0</v>
          </cell>
          <cell r="BD915" t="str">
            <v/>
          </cell>
          <cell r="BE915">
            <v>1</v>
          </cell>
          <cell r="BG915" t="str">
            <v>1100</v>
          </cell>
        </row>
        <row r="916">
          <cell r="B916" t="str">
            <v>G182050106100100</v>
          </cell>
          <cell r="C916" t="str">
            <v>18.福井県</v>
          </cell>
          <cell r="D916" t="str">
            <v>205</v>
          </cell>
          <cell r="E916" t="str">
            <v>大野市</v>
          </cell>
          <cell r="F916" t="str">
            <v>01</v>
          </cell>
          <cell r="G916" t="str">
            <v>公共 単独</v>
          </cell>
          <cell r="H916" t="str">
            <v>公共下水道</v>
          </cell>
          <cell r="I916" t="str">
            <v>単独</v>
          </cell>
          <cell r="J916" t="str">
            <v>001</v>
          </cell>
          <cell r="K916" t="str">
            <v>大野市下水処理センター</v>
          </cell>
          <cell r="M916" t="str">
            <v>1</v>
          </cell>
          <cell r="N916" t="str">
            <v>1</v>
          </cell>
          <cell r="Q916">
            <v>37712</v>
          </cell>
          <cell r="R916" t="str">
            <v>平成</v>
          </cell>
          <cell r="S916">
            <v>15</v>
          </cell>
          <cell r="T916">
            <v>4</v>
          </cell>
          <cell r="AB916">
            <v>33600</v>
          </cell>
          <cell r="AC916" t="str">
            <v>真名川水域</v>
          </cell>
          <cell r="AD916" t="str">
            <v>Ａ</v>
          </cell>
          <cell r="AE916" t="str">
            <v>イ</v>
          </cell>
          <cell r="AF916">
            <v>15</v>
          </cell>
          <cell r="AK916" t="str">
            <v>清滝川</v>
          </cell>
          <cell r="AL916" t="str">
            <v>鳴鹿大堰</v>
          </cell>
          <cell r="AN916">
            <v>22</v>
          </cell>
          <cell r="AO916" t="str">
            <v>福井市</v>
          </cell>
          <cell r="AQ916" t="str">
            <v/>
          </cell>
          <cell r="AR916" t="str">
            <v>オキシディションディッチ法</v>
          </cell>
          <cell r="AS916" t="str">
            <v>1820501001</v>
          </cell>
          <cell r="AT916" t="str">
            <v/>
          </cell>
          <cell r="AU916" t="str">
            <v>10</v>
          </cell>
          <cell r="AV916" t="str">
            <v>10</v>
          </cell>
          <cell r="AW916">
            <v>0</v>
          </cell>
          <cell r="AX916">
            <v>0</v>
          </cell>
          <cell r="AY916">
            <v>0</v>
          </cell>
          <cell r="AZ916">
            <v>0</v>
          </cell>
          <cell r="BA916">
            <v>0</v>
          </cell>
          <cell r="BD916" t="str">
            <v/>
          </cell>
          <cell r="BE916">
            <v>1</v>
          </cell>
          <cell r="BG916" t="str">
            <v>1100</v>
          </cell>
        </row>
        <row r="917">
          <cell r="B917" t="str">
            <v>G182060106100100</v>
          </cell>
          <cell r="C917" t="str">
            <v>18.福井県</v>
          </cell>
          <cell r="D917" t="str">
            <v>206</v>
          </cell>
          <cell r="E917" t="str">
            <v>勝山市</v>
          </cell>
          <cell r="F917" t="str">
            <v>01</v>
          </cell>
          <cell r="G917" t="str">
            <v>公共 単独</v>
          </cell>
          <cell r="H917" t="str">
            <v>公共下水道</v>
          </cell>
          <cell r="I917" t="str">
            <v>単独</v>
          </cell>
          <cell r="J917" t="str">
            <v>001</v>
          </cell>
          <cell r="K917" t="str">
            <v>勝山浄化センター</v>
          </cell>
          <cell r="M917" t="str">
            <v>1</v>
          </cell>
          <cell r="N917" t="str">
            <v>1</v>
          </cell>
          <cell r="Q917">
            <v>31199</v>
          </cell>
          <cell r="R917" t="str">
            <v>昭和</v>
          </cell>
          <cell r="S917">
            <v>60</v>
          </cell>
          <cell r="T917">
            <v>6</v>
          </cell>
          <cell r="AB917">
            <v>48980</v>
          </cell>
          <cell r="AC917" t="str">
            <v>九頭竜川</v>
          </cell>
          <cell r="AD917" t="str">
            <v>Ａ</v>
          </cell>
          <cell r="AE917" t="str">
            <v>ロ</v>
          </cell>
          <cell r="AF917">
            <v>14</v>
          </cell>
          <cell r="AI917" t="str">
            <v>暮見川</v>
          </cell>
          <cell r="AK917" t="str">
            <v>九頭竜川</v>
          </cell>
          <cell r="AL917" t="str">
            <v>鳴鹿大堰</v>
          </cell>
          <cell r="AN917">
            <v>16</v>
          </cell>
          <cell r="AO917" t="str">
            <v>福井市</v>
          </cell>
          <cell r="AQ917" t="str">
            <v/>
          </cell>
          <cell r="AR917" t="str">
            <v>標準活性汚泥法</v>
          </cell>
          <cell r="AS917" t="str">
            <v>1820601001</v>
          </cell>
          <cell r="AT917" t="str">
            <v/>
          </cell>
          <cell r="AU917" t="str">
            <v>10</v>
          </cell>
          <cell r="AV917" t="str">
            <v>10</v>
          </cell>
          <cell r="AW917">
            <v>0</v>
          </cell>
          <cell r="AX917">
            <v>0</v>
          </cell>
          <cell r="AY917">
            <v>0</v>
          </cell>
          <cell r="AZ917">
            <v>0</v>
          </cell>
          <cell r="BA917">
            <v>0</v>
          </cell>
          <cell r="BD917" t="str">
            <v/>
          </cell>
          <cell r="BE917">
            <v>1</v>
          </cell>
          <cell r="BG917" t="str">
            <v>1100</v>
          </cell>
        </row>
        <row r="918">
          <cell r="B918" t="str">
            <v>G182070106100100</v>
          </cell>
          <cell r="C918" t="str">
            <v>18.福井県</v>
          </cell>
          <cell r="D918" t="str">
            <v>207</v>
          </cell>
          <cell r="E918" t="str">
            <v>鯖江市</v>
          </cell>
          <cell r="F918" t="str">
            <v>01</v>
          </cell>
          <cell r="G918" t="str">
            <v>公共 単独</v>
          </cell>
          <cell r="H918" t="str">
            <v>公共下水道</v>
          </cell>
          <cell r="I918" t="str">
            <v>単独</v>
          </cell>
          <cell r="J918" t="str">
            <v>001</v>
          </cell>
          <cell r="K918" t="str">
            <v>鯖江市環境衛生センター</v>
          </cell>
          <cell r="M918" t="str">
            <v>1</v>
          </cell>
          <cell r="N918" t="str">
            <v>1</v>
          </cell>
          <cell r="Q918">
            <v>30468</v>
          </cell>
          <cell r="R918" t="str">
            <v>昭和</v>
          </cell>
          <cell r="S918">
            <v>58</v>
          </cell>
          <cell r="T918">
            <v>6</v>
          </cell>
          <cell r="AB918">
            <v>39470</v>
          </cell>
          <cell r="AC918" t="str">
            <v>九頭竜川水域</v>
          </cell>
          <cell r="AD918" t="str">
            <v>Ｂ</v>
          </cell>
          <cell r="AE918" t="str">
            <v>ロ</v>
          </cell>
          <cell r="AF918">
            <v>15</v>
          </cell>
          <cell r="AK918" t="str">
            <v>日野川</v>
          </cell>
          <cell r="AQ918" t="str">
            <v/>
          </cell>
          <cell r="AR918" t="str">
            <v>標準活性汚泥法</v>
          </cell>
          <cell r="AS918" t="str">
            <v>1820701001</v>
          </cell>
          <cell r="AT918" t="str">
            <v/>
          </cell>
          <cell r="AU918" t="str">
            <v>10</v>
          </cell>
          <cell r="AV918" t="str">
            <v>10</v>
          </cell>
          <cell r="AW918">
            <v>0</v>
          </cell>
          <cell r="AX918">
            <v>0</v>
          </cell>
          <cell r="AY918">
            <v>0</v>
          </cell>
          <cell r="AZ918">
            <v>0</v>
          </cell>
          <cell r="BA918">
            <v>0</v>
          </cell>
          <cell r="BD918" t="str">
            <v/>
          </cell>
          <cell r="BE918">
            <v>1</v>
          </cell>
          <cell r="BG918" t="str">
            <v>1100</v>
          </cell>
        </row>
        <row r="919">
          <cell r="B919" t="str">
            <v>G182090106100100</v>
          </cell>
          <cell r="C919" t="str">
            <v>18.福井県</v>
          </cell>
          <cell r="D919" t="str">
            <v>209</v>
          </cell>
          <cell r="E919" t="str">
            <v>越前市</v>
          </cell>
          <cell r="F919" t="str">
            <v>01</v>
          </cell>
          <cell r="G919" t="str">
            <v>公共 単独</v>
          </cell>
          <cell r="H919" t="str">
            <v>公共下水道</v>
          </cell>
          <cell r="I919" t="str">
            <v>単独</v>
          </cell>
          <cell r="J919" t="str">
            <v>001</v>
          </cell>
          <cell r="K919" t="str">
            <v>家久浄化センター</v>
          </cell>
          <cell r="M919" t="str">
            <v>1</v>
          </cell>
          <cell r="N919" t="str">
            <v>1</v>
          </cell>
          <cell r="Q919">
            <v>29434</v>
          </cell>
          <cell r="R919" t="str">
            <v>昭和</v>
          </cell>
          <cell r="S919">
            <v>55</v>
          </cell>
          <cell r="T919">
            <v>8</v>
          </cell>
          <cell r="AB919">
            <v>29500</v>
          </cell>
          <cell r="AC919" t="str">
            <v>日野川</v>
          </cell>
          <cell r="AD919" t="str">
            <v>Ａ</v>
          </cell>
          <cell r="AE919" t="str">
            <v>イ</v>
          </cell>
          <cell r="AF919">
            <v>15</v>
          </cell>
          <cell r="AK919" t="str">
            <v>日野川</v>
          </cell>
          <cell r="AQ919" t="str">
            <v/>
          </cell>
          <cell r="AR919" t="str">
            <v>標準活性汚泥法</v>
          </cell>
          <cell r="AS919" t="str">
            <v>1820901001</v>
          </cell>
          <cell r="AT919" t="str">
            <v/>
          </cell>
          <cell r="AU919" t="str">
            <v>10</v>
          </cell>
          <cell r="AV919" t="str">
            <v>10</v>
          </cell>
          <cell r="AW919">
            <v>0</v>
          </cell>
          <cell r="AX919">
            <v>0</v>
          </cell>
          <cell r="AY919">
            <v>0</v>
          </cell>
          <cell r="AZ919">
            <v>0</v>
          </cell>
          <cell r="BA919">
            <v>0</v>
          </cell>
          <cell r="BD919" t="str">
            <v/>
          </cell>
          <cell r="BE919">
            <v>1</v>
          </cell>
          <cell r="BG919" t="str">
            <v>1100</v>
          </cell>
        </row>
        <row r="920">
          <cell r="B920" t="str">
            <v>G182090106100200</v>
          </cell>
          <cell r="C920" t="str">
            <v>18.福井県</v>
          </cell>
          <cell r="D920" t="str">
            <v>209</v>
          </cell>
          <cell r="E920" t="str">
            <v>越前市</v>
          </cell>
          <cell r="F920" t="str">
            <v>01</v>
          </cell>
          <cell r="G920" t="str">
            <v>公共 単独</v>
          </cell>
          <cell r="H920" t="str">
            <v>公共下水道</v>
          </cell>
          <cell r="I920" t="str">
            <v>単独</v>
          </cell>
          <cell r="J920" t="str">
            <v>002</v>
          </cell>
          <cell r="K920" t="str">
            <v>今立浄化センター</v>
          </cell>
          <cell r="M920" t="str">
            <v>1</v>
          </cell>
          <cell r="Q920">
            <v>38412</v>
          </cell>
          <cell r="R920" t="str">
            <v>平成</v>
          </cell>
          <cell r="S920">
            <v>17</v>
          </cell>
          <cell r="T920">
            <v>3</v>
          </cell>
          <cell r="AB920">
            <v>8100</v>
          </cell>
          <cell r="AC920" t="str">
            <v>鞍谷川</v>
          </cell>
          <cell r="AD920" t="str">
            <v>Ｄ</v>
          </cell>
          <cell r="AE920" t="str">
            <v>ロ</v>
          </cell>
          <cell r="AF920">
            <v>15</v>
          </cell>
          <cell r="AK920" t="str">
            <v>月尾川</v>
          </cell>
          <cell r="AQ920" t="str">
            <v/>
          </cell>
          <cell r="AR920" t="str">
            <v>嫌気好気ろ床法</v>
          </cell>
          <cell r="AS920" t="str">
            <v>1820901002</v>
          </cell>
          <cell r="AT920" t="str">
            <v/>
          </cell>
          <cell r="AU920" t="str">
            <v>00</v>
          </cell>
          <cell r="AV920" t="str">
            <v>00</v>
          </cell>
          <cell r="AW920">
            <v>0</v>
          </cell>
          <cell r="AX920">
            <v>0</v>
          </cell>
          <cell r="AY920">
            <v>0</v>
          </cell>
          <cell r="AZ920">
            <v>0</v>
          </cell>
          <cell r="BA920">
            <v>0</v>
          </cell>
          <cell r="BD920" t="str">
            <v/>
          </cell>
          <cell r="BE920">
            <v>1</v>
          </cell>
          <cell r="BG920" t="str">
            <v>1000</v>
          </cell>
        </row>
        <row r="921">
          <cell r="B921" t="str">
            <v>G182090106100300</v>
          </cell>
          <cell r="C921" t="str">
            <v>18.福井県</v>
          </cell>
          <cell r="D921" t="str">
            <v>209</v>
          </cell>
          <cell r="E921" t="str">
            <v>越前市</v>
          </cell>
          <cell r="F921" t="str">
            <v>01</v>
          </cell>
          <cell r="G921" t="str">
            <v>公共 単独</v>
          </cell>
          <cell r="H921" t="str">
            <v>公共下水道</v>
          </cell>
          <cell r="I921" t="str">
            <v>単独</v>
          </cell>
          <cell r="J921" t="str">
            <v>003</v>
          </cell>
          <cell r="K921" t="str">
            <v>水循環センター</v>
          </cell>
          <cell r="M921" t="str">
            <v>1</v>
          </cell>
          <cell r="N921" t="str">
            <v>1</v>
          </cell>
          <cell r="Q921">
            <v>40057</v>
          </cell>
          <cell r="R921" t="str">
            <v>平成</v>
          </cell>
          <cell r="S921">
            <v>21</v>
          </cell>
          <cell r="T921">
            <v>9</v>
          </cell>
          <cell r="AB921">
            <v>22000</v>
          </cell>
          <cell r="AC921" t="str">
            <v>穴田川</v>
          </cell>
          <cell r="AD921" t="str">
            <v>Ｂ</v>
          </cell>
          <cell r="AE921" t="str">
            <v>イ</v>
          </cell>
          <cell r="AF921">
            <v>15</v>
          </cell>
          <cell r="AI921" t="str">
            <v>松ケ鼻排水路</v>
          </cell>
          <cell r="AK921" t="str">
            <v>穴田川</v>
          </cell>
          <cell r="AQ921" t="str">
            <v/>
          </cell>
          <cell r="AR921" t="str">
            <v>オキシディションディッチ法</v>
          </cell>
          <cell r="AS921" t="str">
            <v>1820901003</v>
          </cell>
          <cell r="AT921" t="str">
            <v/>
          </cell>
          <cell r="AU921" t="str">
            <v>10</v>
          </cell>
          <cell r="AV921" t="str">
            <v>10</v>
          </cell>
          <cell r="AW921">
            <v>0</v>
          </cell>
          <cell r="AX921">
            <v>0</v>
          </cell>
          <cell r="AY921">
            <v>0</v>
          </cell>
          <cell r="AZ921">
            <v>0</v>
          </cell>
          <cell r="BA921">
            <v>0</v>
          </cell>
          <cell r="BD921" t="str">
            <v/>
          </cell>
          <cell r="BE921">
            <v>1</v>
          </cell>
          <cell r="BG921" t="str">
            <v>1100</v>
          </cell>
        </row>
        <row r="922">
          <cell r="B922" t="str">
            <v>G183220206100100</v>
          </cell>
          <cell r="C922" t="str">
            <v>18.福井県</v>
          </cell>
          <cell r="D922" t="str">
            <v>322</v>
          </cell>
          <cell r="E922" t="str">
            <v>永平寺町</v>
          </cell>
          <cell r="F922" t="str">
            <v>02</v>
          </cell>
          <cell r="G922" t="str">
            <v>特環 単独</v>
          </cell>
          <cell r="H922" t="str">
            <v>特定環境保全公共下水道</v>
          </cell>
          <cell r="I922" t="str">
            <v>単独</v>
          </cell>
          <cell r="J922" t="str">
            <v>001</v>
          </cell>
          <cell r="K922" t="str">
            <v>志比浄化センター</v>
          </cell>
          <cell r="M922" t="str">
            <v>1</v>
          </cell>
          <cell r="N922" t="str">
            <v>1</v>
          </cell>
          <cell r="Q922">
            <v>29312</v>
          </cell>
          <cell r="R922" t="str">
            <v>昭和</v>
          </cell>
          <cell r="S922">
            <v>55</v>
          </cell>
          <cell r="T922">
            <v>4</v>
          </cell>
          <cell r="AB922">
            <v>3725</v>
          </cell>
          <cell r="AC922" t="str">
            <v>九頭竜川中流</v>
          </cell>
          <cell r="AD922" t="str">
            <v>Ａ</v>
          </cell>
          <cell r="AE922" t="str">
            <v>ロ</v>
          </cell>
          <cell r="AK922" t="str">
            <v>永平寺川</v>
          </cell>
          <cell r="AL922" t="str">
            <v>永平寺ﾀﾞﾑ</v>
          </cell>
          <cell r="AM922">
            <v>5</v>
          </cell>
          <cell r="AO922" t="str">
            <v>永平寺町</v>
          </cell>
          <cell r="AQ922" t="str">
            <v/>
          </cell>
          <cell r="AR922" t="str">
            <v>回転生物接触法</v>
          </cell>
          <cell r="AS922" t="str">
            <v>1832202001</v>
          </cell>
          <cell r="AT922" t="str">
            <v/>
          </cell>
          <cell r="AU922" t="str">
            <v>10</v>
          </cell>
          <cell r="AV922" t="str">
            <v>10</v>
          </cell>
          <cell r="AW922">
            <v>0</v>
          </cell>
          <cell r="AX922">
            <v>0</v>
          </cell>
          <cell r="AY922">
            <v>0</v>
          </cell>
          <cell r="AZ922">
            <v>0</v>
          </cell>
          <cell r="BA922">
            <v>0</v>
          </cell>
          <cell r="BD922" t="str">
            <v/>
          </cell>
          <cell r="BE922">
            <v>1</v>
          </cell>
          <cell r="BG922" t="str">
            <v>1100</v>
          </cell>
        </row>
        <row r="923">
          <cell r="B923" t="str">
            <v>G183220206100200</v>
          </cell>
          <cell r="C923" t="str">
            <v>18.福井県</v>
          </cell>
          <cell r="D923" t="str">
            <v>322</v>
          </cell>
          <cell r="E923" t="str">
            <v>永平寺町</v>
          </cell>
          <cell r="F923" t="str">
            <v>02</v>
          </cell>
          <cell r="G923" t="str">
            <v>特環 単独</v>
          </cell>
          <cell r="H923" t="str">
            <v>特定環境保全公共下水道</v>
          </cell>
          <cell r="I923" t="str">
            <v>単独</v>
          </cell>
          <cell r="J923" t="str">
            <v>002</v>
          </cell>
          <cell r="K923" t="str">
            <v>中央浄化センター</v>
          </cell>
          <cell r="M923" t="str">
            <v>1</v>
          </cell>
          <cell r="N923" t="str">
            <v>1</v>
          </cell>
          <cell r="Q923">
            <v>31868</v>
          </cell>
          <cell r="R923" t="str">
            <v>昭和</v>
          </cell>
          <cell r="S923">
            <v>62</v>
          </cell>
          <cell r="T923">
            <v>4</v>
          </cell>
          <cell r="AB923">
            <v>5617</v>
          </cell>
          <cell r="AC923" t="str">
            <v>九頭竜川中流</v>
          </cell>
          <cell r="AD923" t="str">
            <v>Ａ</v>
          </cell>
          <cell r="AE923" t="str">
            <v>ロ</v>
          </cell>
          <cell r="AK923" t="str">
            <v>永平寺川</v>
          </cell>
          <cell r="AQ923" t="str">
            <v/>
          </cell>
          <cell r="AR923" t="str">
            <v>回転生物接触法</v>
          </cell>
          <cell r="AS923" t="str">
            <v>1832202002</v>
          </cell>
          <cell r="AT923" t="str">
            <v/>
          </cell>
          <cell r="AU923" t="str">
            <v>10</v>
          </cell>
          <cell r="AV923" t="str">
            <v>10</v>
          </cell>
          <cell r="AW923">
            <v>0</v>
          </cell>
          <cell r="AX923">
            <v>0</v>
          </cell>
          <cell r="AY923">
            <v>0</v>
          </cell>
          <cell r="AZ923">
            <v>0</v>
          </cell>
          <cell r="BA923">
            <v>0</v>
          </cell>
          <cell r="BD923" t="str">
            <v/>
          </cell>
          <cell r="BE923">
            <v>1</v>
          </cell>
          <cell r="BG923" t="str">
            <v>1100</v>
          </cell>
        </row>
        <row r="924">
          <cell r="B924" t="str">
            <v>G183820206100100</v>
          </cell>
          <cell r="C924" t="str">
            <v>18.福井県</v>
          </cell>
          <cell r="D924" t="str">
            <v>382</v>
          </cell>
          <cell r="E924" t="str">
            <v>池田町</v>
          </cell>
          <cell r="F924" t="str">
            <v>02</v>
          </cell>
          <cell r="G924" t="str">
            <v>特環 単独</v>
          </cell>
          <cell r="H924" t="str">
            <v>特定環境保全公共下水道</v>
          </cell>
          <cell r="I924" t="str">
            <v>単独</v>
          </cell>
          <cell r="J924" t="str">
            <v>001</v>
          </cell>
          <cell r="K924" t="str">
            <v>池田水処理センター</v>
          </cell>
          <cell r="M924" t="str">
            <v>1</v>
          </cell>
          <cell r="N924" t="str">
            <v>1</v>
          </cell>
          <cell r="Q924">
            <v>36220</v>
          </cell>
          <cell r="R924" t="str">
            <v>平成</v>
          </cell>
          <cell r="S924">
            <v>11</v>
          </cell>
          <cell r="T924">
            <v>3</v>
          </cell>
          <cell r="AB924">
            <v>4900</v>
          </cell>
          <cell r="AC924" t="str">
            <v>足羽川上流</v>
          </cell>
          <cell r="AD924" t="str">
            <v>Ａ</v>
          </cell>
          <cell r="AE924" t="str">
            <v>ロ</v>
          </cell>
          <cell r="AF924">
            <v>20</v>
          </cell>
          <cell r="AK924" t="str">
            <v>足羽川</v>
          </cell>
          <cell r="AL924" t="str">
            <v>大黒谷</v>
          </cell>
          <cell r="AM924">
            <v>8</v>
          </cell>
          <cell r="AO924" t="str">
            <v>池田町</v>
          </cell>
          <cell r="AP924" t="str">
            <v>ＢＯＤH11認可申請設定値</v>
          </cell>
          <cell r="AQ924" t="str">
            <v/>
          </cell>
          <cell r="AR924" t="str">
            <v>オキシディションディッチ法</v>
          </cell>
          <cell r="AS924" t="str">
            <v>1838202001</v>
          </cell>
          <cell r="AT924" t="str">
            <v/>
          </cell>
          <cell r="AU924" t="str">
            <v>10</v>
          </cell>
          <cell r="AV924" t="str">
            <v>10</v>
          </cell>
          <cell r="AW924">
            <v>0</v>
          </cell>
          <cell r="AX924">
            <v>0</v>
          </cell>
          <cell r="AY924">
            <v>0</v>
          </cell>
          <cell r="AZ924">
            <v>0</v>
          </cell>
          <cell r="BA924">
            <v>0</v>
          </cell>
          <cell r="BD924" t="str">
            <v/>
          </cell>
          <cell r="BE924">
            <v>1</v>
          </cell>
          <cell r="BG924" t="str">
            <v>1100</v>
          </cell>
        </row>
        <row r="925">
          <cell r="B925" t="str">
            <v>G184040206100100</v>
          </cell>
          <cell r="C925" t="str">
            <v>18.福井県</v>
          </cell>
          <cell r="D925" t="str">
            <v>404</v>
          </cell>
          <cell r="E925" t="str">
            <v>南越前町</v>
          </cell>
          <cell r="F925" t="str">
            <v>02</v>
          </cell>
          <cell r="G925" t="str">
            <v>特環 単独</v>
          </cell>
          <cell r="H925" t="str">
            <v>特定環境保全公共下水道</v>
          </cell>
          <cell r="I925" t="str">
            <v>単独</v>
          </cell>
          <cell r="J925" t="str">
            <v>001</v>
          </cell>
          <cell r="K925" t="str">
            <v>南条浄化センター</v>
          </cell>
          <cell r="M925" t="str">
            <v>1</v>
          </cell>
          <cell r="N925" t="str">
            <v>1</v>
          </cell>
          <cell r="Q925">
            <v>34059</v>
          </cell>
          <cell r="R925" t="str">
            <v>平成</v>
          </cell>
          <cell r="S925">
            <v>5</v>
          </cell>
          <cell r="T925">
            <v>3</v>
          </cell>
          <cell r="AB925">
            <v>7196</v>
          </cell>
          <cell r="AC925" t="str">
            <v>日野川</v>
          </cell>
          <cell r="AD925" t="str">
            <v>Ａ</v>
          </cell>
          <cell r="AE925" t="str">
            <v>イ</v>
          </cell>
          <cell r="AI925" t="str">
            <v>清水川</v>
          </cell>
          <cell r="AQ925" t="str">
            <v/>
          </cell>
          <cell r="AR925" t="str">
            <v>オキシディションディッチ法</v>
          </cell>
          <cell r="AS925" t="str">
            <v>1840402001</v>
          </cell>
          <cell r="AT925" t="str">
            <v/>
          </cell>
          <cell r="AU925" t="str">
            <v>10</v>
          </cell>
          <cell r="AV925" t="str">
            <v>10</v>
          </cell>
          <cell r="AW925">
            <v>0</v>
          </cell>
          <cell r="AX925">
            <v>0</v>
          </cell>
          <cell r="AY925">
            <v>0</v>
          </cell>
          <cell r="AZ925">
            <v>0</v>
          </cell>
          <cell r="BA925">
            <v>0</v>
          </cell>
          <cell r="BD925" t="str">
            <v/>
          </cell>
          <cell r="BE925">
            <v>1</v>
          </cell>
          <cell r="BG925" t="str">
            <v>1100</v>
          </cell>
        </row>
        <row r="926">
          <cell r="B926" t="str">
            <v>G184040206100200</v>
          </cell>
          <cell r="C926" t="str">
            <v>18.福井県</v>
          </cell>
          <cell r="D926" t="str">
            <v>404</v>
          </cell>
          <cell r="E926" t="str">
            <v>南越前町</v>
          </cell>
          <cell r="F926" t="str">
            <v>02</v>
          </cell>
          <cell r="G926" t="str">
            <v>特環 単独</v>
          </cell>
          <cell r="H926" t="str">
            <v>特定環境保全公共下水道</v>
          </cell>
          <cell r="I926" t="str">
            <v>単独</v>
          </cell>
          <cell r="J926" t="str">
            <v>002</v>
          </cell>
          <cell r="K926" t="str">
            <v>河野浄化センター</v>
          </cell>
          <cell r="M926" t="str">
            <v>1</v>
          </cell>
          <cell r="N926" t="str">
            <v>1</v>
          </cell>
          <cell r="Q926">
            <v>36586</v>
          </cell>
          <cell r="R926" t="str">
            <v>平成</v>
          </cell>
          <cell r="S926">
            <v>12</v>
          </cell>
          <cell r="T926">
            <v>3</v>
          </cell>
          <cell r="AB926">
            <v>4257</v>
          </cell>
          <cell r="AC926" t="str">
            <v>越前加賀海岸地先海域</v>
          </cell>
          <cell r="AD926" t="str">
            <v>Ａ</v>
          </cell>
          <cell r="AE926" t="str">
            <v>イ</v>
          </cell>
          <cell r="AI926" t="str">
            <v>日本海</v>
          </cell>
          <cell r="AQ926" t="str">
            <v/>
          </cell>
          <cell r="AR926" t="str">
            <v>オキシディションディッチ法</v>
          </cell>
          <cell r="AS926" t="str">
            <v>1840402002</v>
          </cell>
          <cell r="AT926" t="str">
            <v/>
          </cell>
          <cell r="AU926" t="str">
            <v>10</v>
          </cell>
          <cell r="AV926" t="str">
            <v>10</v>
          </cell>
          <cell r="AW926">
            <v>0</v>
          </cell>
          <cell r="AX926">
            <v>0</v>
          </cell>
          <cell r="AY926">
            <v>0</v>
          </cell>
          <cell r="AZ926">
            <v>0</v>
          </cell>
          <cell r="BA926">
            <v>0</v>
          </cell>
          <cell r="BD926" t="str">
            <v/>
          </cell>
          <cell r="BE926">
            <v>1</v>
          </cell>
          <cell r="BG926" t="str">
            <v>1100</v>
          </cell>
        </row>
        <row r="927">
          <cell r="B927" t="str">
            <v>G184230106100100</v>
          </cell>
          <cell r="C927" t="str">
            <v>18.福井県</v>
          </cell>
          <cell r="D927" t="str">
            <v>423</v>
          </cell>
          <cell r="E927" t="str">
            <v>越前町</v>
          </cell>
          <cell r="F927" t="str">
            <v>01</v>
          </cell>
          <cell r="G927" t="str">
            <v>公共 単独</v>
          </cell>
          <cell r="H927" t="str">
            <v>公共下水道</v>
          </cell>
          <cell r="I927" t="str">
            <v>単独</v>
          </cell>
          <cell r="J927" t="str">
            <v>001</v>
          </cell>
          <cell r="K927" t="str">
            <v>朝日浄化センター</v>
          </cell>
          <cell r="M927" t="str">
            <v>1</v>
          </cell>
          <cell r="N927" t="str">
            <v>1</v>
          </cell>
          <cell r="Q927">
            <v>31472</v>
          </cell>
          <cell r="R927" t="str">
            <v>昭和</v>
          </cell>
          <cell r="S927">
            <v>61</v>
          </cell>
          <cell r="T927">
            <v>3</v>
          </cell>
          <cell r="AB927">
            <v>10000</v>
          </cell>
          <cell r="AC927" t="str">
            <v>天王川</v>
          </cell>
          <cell r="AD927" t="str">
            <v>Ａ</v>
          </cell>
          <cell r="AE927" t="str">
            <v>ハ</v>
          </cell>
          <cell r="AF927">
            <v>15</v>
          </cell>
          <cell r="AK927" t="str">
            <v>和田川</v>
          </cell>
          <cell r="AQ927" t="str">
            <v/>
          </cell>
          <cell r="AR927" t="str">
            <v>標準活性汚泥法</v>
          </cell>
          <cell r="AS927" t="str">
            <v>1842301001</v>
          </cell>
          <cell r="AT927" t="str">
            <v/>
          </cell>
          <cell r="AU927" t="str">
            <v>10</v>
          </cell>
          <cell r="AV927" t="str">
            <v>10</v>
          </cell>
          <cell r="AW927">
            <v>0</v>
          </cell>
          <cell r="AX927">
            <v>0</v>
          </cell>
          <cell r="AY927">
            <v>0</v>
          </cell>
          <cell r="AZ927">
            <v>0</v>
          </cell>
          <cell r="BA927">
            <v>0</v>
          </cell>
          <cell r="BD927" t="str">
            <v/>
          </cell>
          <cell r="BE927">
            <v>1</v>
          </cell>
          <cell r="BG927" t="str">
            <v>1100</v>
          </cell>
        </row>
        <row r="928">
          <cell r="B928" t="str">
            <v>G184230106100200</v>
          </cell>
          <cell r="C928" t="str">
            <v>18.福井県</v>
          </cell>
          <cell r="D928" t="str">
            <v>423</v>
          </cell>
          <cell r="E928" t="str">
            <v>越前町</v>
          </cell>
          <cell r="F928" t="str">
            <v>01</v>
          </cell>
          <cell r="G928" t="str">
            <v>公共 単独</v>
          </cell>
          <cell r="H928" t="str">
            <v>公共下水道</v>
          </cell>
          <cell r="I928" t="str">
            <v>単独</v>
          </cell>
          <cell r="J928" t="str">
            <v>002</v>
          </cell>
          <cell r="K928" t="str">
            <v>織田浄化センター</v>
          </cell>
          <cell r="M928" t="str">
            <v>1</v>
          </cell>
          <cell r="N928" t="str">
            <v>1</v>
          </cell>
          <cell r="Q928">
            <v>34608</v>
          </cell>
          <cell r="R928" t="str">
            <v>平成</v>
          </cell>
          <cell r="S928">
            <v>6</v>
          </cell>
          <cell r="T928">
            <v>10</v>
          </cell>
          <cell r="AB928">
            <v>12300</v>
          </cell>
          <cell r="AC928" t="str">
            <v>天王川</v>
          </cell>
          <cell r="AD928" t="str">
            <v>Ａ</v>
          </cell>
          <cell r="AE928" t="str">
            <v>ハ</v>
          </cell>
          <cell r="AF928">
            <v>15</v>
          </cell>
          <cell r="AK928" t="str">
            <v>天王川</v>
          </cell>
          <cell r="AQ928" t="str">
            <v/>
          </cell>
          <cell r="AR928" t="str">
            <v>オキシディションディッチ法</v>
          </cell>
          <cell r="AS928" t="str">
            <v>1842301002</v>
          </cell>
          <cell r="AT928" t="str">
            <v/>
          </cell>
          <cell r="AU928" t="str">
            <v>10</v>
          </cell>
          <cell r="AV928" t="str">
            <v>10</v>
          </cell>
          <cell r="AW928">
            <v>0</v>
          </cell>
          <cell r="AX928">
            <v>0</v>
          </cell>
          <cell r="AY928">
            <v>0</v>
          </cell>
          <cell r="AZ928">
            <v>0</v>
          </cell>
          <cell r="BA928">
            <v>0</v>
          </cell>
          <cell r="BD928" t="str">
            <v/>
          </cell>
          <cell r="BE928">
            <v>1</v>
          </cell>
          <cell r="BG928" t="str">
            <v>1100</v>
          </cell>
        </row>
        <row r="929">
          <cell r="B929" t="str">
            <v>G184230206100300</v>
          </cell>
          <cell r="C929" t="str">
            <v>18.福井県</v>
          </cell>
          <cell r="D929" t="str">
            <v>423</v>
          </cell>
          <cell r="E929" t="str">
            <v>越前町</v>
          </cell>
          <cell r="F929" t="str">
            <v>02</v>
          </cell>
          <cell r="G929" t="str">
            <v>特環 単独</v>
          </cell>
          <cell r="H929" t="str">
            <v>特定環境保全公共下水道</v>
          </cell>
          <cell r="I929" t="str">
            <v>単独</v>
          </cell>
          <cell r="J929" t="str">
            <v>003</v>
          </cell>
          <cell r="K929" t="str">
            <v>宮崎浄化センター</v>
          </cell>
          <cell r="M929" t="str">
            <v>1</v>
          </cell>
          <cell r="N929" t="str">
            <v>1</v>
          </cell>
          <cell r="Q929">
            <v>32599</v>
          </cell>
          <cell r="R929" t="str">
            <v>平成</v>
          </cell>
          <cell r="S929">
            <v>1</v>
          </cell>
          <cell r="T929">
            <v>4</v>
          </cell>
          <cell r="AB929">
            <v>2450</v>
          </cell>
          <cell r="AC929" t="str">
            <v>天王川</v>
          </cell>
          <cell r="AD929" t="str">
            <v>Ａ</v>
          </cell>
          <cell r="AE929" t="str">
            <v>ハ</v>
          </cell>
          <cell r="AK929" t="str">
            <v>天王川</v>
          </cell>
          <cell r="AQ929" t="str">
            <v/>
          </cell>
          <cell r="AR929" t="str">
            <v>オキシディションディッチ法</v>
          </cell>
          <cell r="AS929" t="str">
            <v>1842302003</v>
          </cell>
          <cell r="AT929" t="str">
            <v/>
          </cell>
          <cell r="AU929" t="str">
            <v>10</v>
          </cell>
          <cell r="AV929" t="str">
            <v>10</v>
          </cell>
          <cell r="AW929">
            <v>0</v>
          </cell>
          <cell r="AX929">
            <v>0</v>
          </cell>
          <cell r="AY929">
            <v>0</v>
          </cell>
          <cell r="AZ929">
            <v>0</v>
          </cell>
          <cell r="BA929">
            <v>0</v>
          </cell>
          <cell r="BD929" t="str">
            <v/>
          </cell>
          <cell r="BE929">
            <v>1</v>
          </cell>
          <cell r="BG929" t="str">
            <v>1100</v>
          </cell>
        </row>
        <row r="930">
          <cell r="B930" t="str">
            <v>G184420106100100</v>
          </cell>
          <cell r="C930" t="str">
            <v>18.福井県</v>
          </cell>
          <cell r="D930" t="str">
            <v>442</v>
          </cell>
          <cell r="E930" t="str">
            <v>美浜町</v>
          </cell>
          <cell r="F930" t="str">
            <v>01</v>
          </cell>
          <cell r="G930" t="str">
            <v>公共 単独</v>
          </cell>
          <cell r="H930" t="str">
            <v>公共下水道</v>
          </cell>
          <cell r="I930" t="str">
            <v>単独</v>
          </cell>
          <cell r="J930" t="str">
            <v>001</v>
          </cell>
          <cell r="K930" t="str">
            <v>美浜町浄化センター</v>
          </cell>
          <cell r="M930" t="str">
            <v>1</v>
          </cell>
          <cell r="N930" t="str">
            <v>1</v>
          </cell>
          <cell r="Q930">
            <v>34790</v>
          </cell>
          <cell r="R930" t="str">
            <v>平成</v>
          </cell>
          <cell r="S930">
            <v>7</v>
          </cell>
          <cell r="T930">
            <v>4</v>
          </cell>
          <cell r="AB930">
            <v>12110</v>
          </cell>
          <cell r="AC930" t="str">
            <v>若狭湾東部海域</v>
          </cell>
          <cell r="AD930" t="str">
            <v>Ａ</v>
          </cell>
          <cell r="AF930">
            <v>15</v>
          </cell>
          <cell r="AI930" t="str">
            <v>中央幹線排水路</v>
          </cell>
          <cell r="AQ930" t="str">
            <v/>
          </cell>
          <cell r="AR930" t="str">
            <v>オキシディションディッチ法</v>
          </cell>
          <cell r="AS930" t="str">
            <v>1844201001</v>
          </cell>
          <cell r="AT930" t="str">
            <v/>
          </cell>
          <cell r="AU930" t="str">
            <v>10</v>
          </cell>
          <cell r="AV930" t="str">
            <v>10</v>
          </cell>
          <cell r="AW930">
            <v>0</v>
          </cell>
          <cell r="AX930">
            <v>0</v>
          </cell>
          <cell r="AY930">
            <v>0</v>
          </cell>
          <cell r="AZ930">
            <v>0</v>
          </cell>
          <cell r="BA930">
            <v>0</v>
          </cell>
          <cell r="BD930" t="str">
            <v/>
          </cell>
          <cell r="BE930">
            <v>1</v>
          </cell>
          <cell r="BG930" t="str">
            <v>1100</v>
          </cell>
        </row>
        <row r="931">
          <cell r="B931" t="str">
            <v>G184810106100100</v>
          </cell>
          <cell r="C931" t="str">
            <v>18.福井県</v>
          </cell>
          <cell r="D931" t="str">
            <v>481</v>
          </cell>
          <cell r="E931" t="str">
            <v>高浜町</v>
          </cell>
          <cell r="F931" t="str">
            <v>01</v>
          </cell>
          <cell r="G931" t="str">
            <v>公共 単独</v>
          </cell>
          <cell r="H931" t="str">
            <v>公共下水道</v>
          </cell>
          <cell r="I931" t="str">
            <v>単独</v>
          </cell>
          <cell r="J931" t="str">
            <v>001</v>
          </cell>
          <cell r="K931" t="str">
            <v>高浜町せゝらぎランド</v>
          </cell>
          <cell r="M931" t="str">
            <v>1</v>
          </cell>
          <cell r="N931" t="str">
            <v>1</v>
          </cell>
          <cell r="Q931">
            <v>36251</v>
          </cell>
          <cell r="R931" t="str">
            <v>平成</v>
          </cell>
          <cell r="S931">
            <v>11</v>
          </cell>
          <cell r="T931">
            <v>4</v>
          </cell>
          <cell r="AB931">
            <v>22000</v>
          </cell>
          <cell r="AC931" t="str">
            <v>若狭湾東部海域</v>
          </cell>
          <cell r="AD931" t="str">
            <v>Ａ</v>
          </cell>
          <cell r="AE931" t="str">
            <v>イ</v>
          </cell>
          <cell r="AF931">
            <v>10</v>
          </cell>
          <cell r="AG931">
            <v>16</v>
          </cell>
          <cell r="AH931">
            <v>3</v>
          </cell>
          <cell r="AI931" t="str">
            <v>青戸入江（閉鎖性水域）</v>
          </cell>
          <cell r="AQ931" t="str">
            <v/>
          </cell>
          <cell r="AR931" t="str">
            <v>嫌気無酸素好気法</v>
          </cell>
          <cell r="AS931" t="str">
            <v>1848101001</v>
          </cell>
          <cell r="AT931" t="str">
            <v/>
          </cell>
          <cell r="AU931" t="str">
            <v>10</v>
          </cell>
          <cell r="AV931" t="str">
            <v>10</v>
          </cell>
          <cell r="AW931">
            <v>0</v>
          </cell>
          <cell r="AX931">
            <v>0</v>
          </cell>
          <cell r="AY931">
            <v>0</v>
          </cell>
          <cell r="AZ931">
            <v>0</v>
          </cell>
          <cell r="BA931">
            <v>0</v>
          </cell>
          <cell r="BD931" t="str">
            <v/>
          </cell>
          <cell r="BE931">
            <v>1</v>
          </cell>
          <cell r="BG931" t="str">
            <v>1100</v>
          </cell>
        </row>
        <row r="932">
          <cell r="B932" t="str">
            <v>G184830206100100</v>
          </cell>
          <cell r="C932" t="str">
            <v>18.福井県</v>
          </cell>
          <cell r="D932" t="str">
            <v>483</v>
          </cell>
          <cell r="E932" t="str">
            <v>おおい町</v>
          </cell>
          <cell r="F932" t="str">
            <v>02</v>
          </cell>
          <cell r="G932" t="str">
            <v>特環 単独</v>
          </cell>
          <cell r="H932" t="str">
            <v>特定環境保全公共下水道</v>
          </cell>
          <cell r="I932" t="str">
            <v>単独</v>
          </cell>
          <cell r="J932" t="str">
            <v>001</v>
          </cell>
          <cell r="K932" t="str">
            <v>東部浄化センター</v>
          </cell>
          <cell r="M932" t="str">
            <v>1</v>
          </cell>
          <cell r="N932" t="str">
            <v>1</v>
          </cell>
          <cell r="O932" t="str">
            <v>1</v>
          </cell>
          <cell r="P932" t="str">
            <v>1</v>
          </cell>
          <cell r="Q932">
            <v>36708</v>
          </cell>
          <cell r="R932" t="str">
            <v>平成</v>
          </cell>
          <cell r="S932">
            <v>12</v>
          </cell>
          <cell r="T932">
            <v>7</v>
          </cell>
          <cell r="AB932">
            <v>4733</v>
          </cell>
          <cell r="AC932" t="str">
            <v>南川水域</v>
          </cell>
          <cell r="AD932" t="str">
            <v>Ａ</v>
          </cell>
          <cell r="AE932" t="str">
            <v>イ</v>
          </cell>
          <cell r="AF932">
            <v>15</v>
          </cell>
          <cell r="AJ932" t="str">
            <v>南川</v>
          </cell>
          <cell r="AQ932" t="str">
            <v/>
          </cell>
          <cell r="AR932" t="str">
            <v>オキシディションディッチ法</v>
          </cell>
          <cell r="AS932" t="str">
            <v>1848302001</v>
          </cell>
          <cell r="AT932" t="str">
            <v/>
          </cell>
          <cell r="AU932" t="str">
            <v>11</v>
          </cell>
          <cell r="AV932" t="str">
            <v>11</v>
          </cell>
          <cell r="AW932">
            <v>1</v>
          </cell>
          <cell r="AX932">
            <v>0</v>
          </cell>
          <cell r="AY932">
            <v>0</v>
          </cell>
          <cell r="AZ932">
            <v>0</v>
          </cell>
          <cell r="BA932">
            <v>0</v>
          </cell>
          <cell r="BD932" t="str">
            <v/>
          </cell>
          <cell r="BE932">
            <v>1</v>
          </cell>
          <cell r="BG932" t="str">
            <v>1111</v>
          </cell>
        </row>
        <row r="933">
          <cell r="B933" t="str">
            <v>G185010206100100</v>
          </cell>
          <cell r="C933" t="str">
            <v>18.福井県</v>
          </cell>
          <cell r="D933" t="str">
            <v>501</v>
          </cell>
          <cell r="E933" t="str">
            <v>若狭町</v>
          </cell>
          <cell r="F933" t="str">
            <v>02</v>
          </cell>
          <cell r="G933" t="str">
            <v>特環 単独</v>
          </cell>
          <cell r="H933" t="str">
            <v>特定環境保全公共下水道</v>
          </cell>
          <cell r="I933" t="str">
            <v>単独</v>
          </cell>
          <cell r="J933" t="str">
            <v>001</v>
          </cell>
          <cell r="K933" t="str">
            <v>熊川浄化センター</v>
          </cell>
          <cell r="M933" t="str">
            <v>1</v>
          </cell>
          <cell r="N933" t="str">
            <v>1</v>
          </cell>
          <cell r="Q933">
            <v>35704</v>
          </cell>
          <cell r="R933" t="str">
            <v>平成</v>
          </cell>
          <cell r="S933">
            <v>9</v>
          </cell>
          <cell r="T933">
            <v>10</v>
          </cell>
          <cell r="AB933">
            <v>21</v>
          </cell>
          <cell r="AC933" t="str">
            <v>北川</v>
          </cell>
          <cell r="AF933">
            <v>15</v>
          </cell>
          <cell r="AI933" t="str">
            <v>深谷川</v>
          </cell>
          <cell r="AK933" t="str">
            <v>北川</v>
          </cell>
          <cell r="AL933" t="str">
            <v>天増川取水口</v>
          </cell>
          <cell r="AM933">
            <v>3</v>
          </cell>
          <cell r="AO933" t="str">
            <v>若狭町</v>
          </cell>
          <cell r="AQ933" t="str">
            <v/>
          </cell>
          <cell r="AR933" t="str">
            <v>オキシディションディッチ法</v>
          </cell>
          <cell r="AS933" t="str">
            <v>1850102001</v>
          </cell>
          <cell r="AT933" t="str">
            <v/>
          </cell>
          <cell r="AU933" t="str">
            <v>10</v>
          </cell>
          <cell r="AV933" t="str">
            <v>10</v>
          </cell>
          <cell r="AW933">
            <v>0</v>
          </cell>
          <cell r="AX933">
            <v>0</v>
          </cell>
          <cell r="AY933">
            <v>0</v>
          </cell>
          <cell r="AZ933">
            <v>0</v>
          </cell>
          <cell r="BA933">
            <v>0</v>
          </cell>
          <cell r="BD933" t="str">
            <v/>
          </cell>
          <cell r="BE933">
            <v>1</v>
          </cell>
          <cell r="BG933" t="str">
            <v>1100</v>
          </cell>
        </row>
        <row r="934">
          <cell r="B934" t="str">
            <v>G185010206100200</v>
          </cell>
          <cell r="C934" t="str">
            <v>18.福井県</v>
          </cell>
          <cell r="D934" t="str">
            <v>501</v>
          </cell>
          <cell r="E934" t="str">
            <v>若狭町</v>
          </cell>
          <cell r="F934" t="str">
            <v>02</v>
          </cell>
          <cell r="G934" t="str">
            <v>特環 単独</v>
          </cell>
          <cell r="H934" t="str">
            <v>特定環境保全公共下水道</v>
          </cell>
          <cell r="I934" t="str">
            <v>単独</v>
          </cell>
          <cell r="J934" t="str">
            <v>002</v>
          </cell>
          <cell r="K934" t="str">
            <v>三宅浄化センター</v>
          </cell>
          <cell r="M934" t="str">
            <v>1</v>
          </cell>
          <cell r="N934" t="str">
            <v>1</v>
          </cell>
          <cell r="Q934">
            <v>36617</v>
          </cell>
          <cell r="R934" t="str">
            <v>平成</v>
          </cell>
          <cell r="S934">
            <v>12</v>
          </cell>
          <cell r="T934">
            <v>4</v>
          </cell>
          <cell r="AB934">
            <v>629</v>
          </cell>
          <cell r="AC934" t="str">
            <v>北川</v>
          </cell>
          <cell r="AF934">
            <v>15</v>
          </cell>
          <cell r="AI934" t="str">
            <v>日笠川</v>
          </cell>
          <cell r="AK934" t="str">
            <v>北川</v>
          </cell>
          <cell r="AL934" t="str">
            <v>天増川取水口</v>
          </cell>
          <cell r="AM934">
            <v>6</v>
          </cell>
          <cell r="AO934" t="str">
            <v>若狭町</v>
          </cell>
          <cell r="AQ934" t="str">
            <v/>
          </cell>
          <cell r="AR934" t="str">
            <v>オキシディションディッチ法</v>
          </cell>
          <cell r="AS934" t="str">
            <v>1850102002</v>
          </cell>
          <cell r="AT934" t="str">
            <v/>
          </cell>
          <cell r="AU934" t="str">
            <v>10</v>
          </cell>
          <cell r="AV934" t="str">
            <v>10</v>
          </cell>
          <cell r="AW934">
            <v>0</v>
          </cell>
          <cell r="AX934">
            <v>0</v>
          </cell>
          <cell r="AY934">
            <v>0</v>
          </cell>
          <cell r="AZ934">
            <v>0</v>
          </cell>
          <cell r="BA934">
            <v>0</v>
          </cell>
          <cell r="BD934" t="str">
            <v/>
          </cell>
          <cell r="BE934">
            <v>1</v>
          </cell>
          <cell r="BG934" t="str">
            <v>1100</v>
          </cell>
        </row>
        <row r="935">
          <cell r="B935" t="str">
            <v>G185010206100300</v>
          </cell>
          <cell r="C935" t="str">
            <v>18.福井県</v>
          </cell>
          <cell r="D935" t="str">
            <v>501</v>
          </cell>
          <cell r="E935" t="str">
            <v>若狭町</v>
          </cell>
          <cell r="F935" t="str">
            <v>02</v>
          </cell>
          <cell r="G935" t="str">
            <v>特環 単独</v>
          </cell>
          <cell r="H935" t="str">
            <v>特定環境保全公共下水道</v>
          </cell>
          <cell r="I935" t="str">
            <v>単独</v>
          </cell>
          <cell r="J935" t="str">
            <v>003</v>
          </cell>
          <cell r="K935" t="str">
            <v>三方浄化センター</v>
          </cell>
          <cell r="M935" t="str">
            <v>1</v>
          </cell>
          <cell r="N935" t="str">
            <v>1</v>
          </cell>
          <cell r="Q935">
            <v>36586</v>
          </cell>
          <cell r="R935" t="str">
            <v>平成</v>
          </cell>
          <cell r="S935">
            <v>12</v>
          </cell>
          <cell r="T935">
            <v>3</v>
          </cell>
          <cell r="AB935">
            <v>406</v>
          </cell>
          <cell r="AC935" t="str">
            <v>中山川</v>
          </cell>
          <cell r="AD935" t="str">
            <v>Ｂ</v>
          </cell>
          <cell r="AE935" t="str">
            <v>ニ</v>
          </cell>
          <cell r="AF935">
            <v>15</v>
          </cell>
          <cell r="AG935">
            <v>1</v>
          </cell>
          <cell r="AJ935" t="str">
            <v>中山川</v>
          </cell>
          <cell r="AL935" t="str">
            <v>三方地区簡易水道施設</v>
          </cell>
          <cell r="AM935">
            <v>15</v>
          </cell>
          <cell r="AO935" t="str">
            <v>若狭町</v>
          </cell>
          <cell r="AQ935" t="str">
            <v/>
          </cell>
          <cell r="AR935" t="str">
            <v>高度処理オキシディションディッチ法</v>
          </cell>
          <cell r="AS935" t="str">
            <v>1850102003</v>
          </cell>
          <cell r="AT935" t="str">
            <v/>
          </cell>
          <cell r="AU935" t="str">
            <v>10</v>
          </cell>
          <cell r="AV935" t="str">
            <v>10</v>
          </cell>
          <cell r="AW935">
            <v>0</v>
          </cell>
          <cell r="AX935">
            <v>0</v>
          </cell>
          <cell r="AY935">
            <v>0</v>
          </cell>
          <cell r="AZ935">
            <v>0</v>
          </cell>
          <cell r="BA935">
            <v>0</v>
          </cell>
          <cell r="BD935" t="str">
            <v/>
          </cell>
          <cell r="BE935">
            <v>1</v>
          </cell>
          <cell r="BG935" t="str">
            <v>1100</v>
          </cell>
        </row>
        <row r="936">
          <cell r="B936" t="str">
            <v>G185010206100400</v>
          </cell>
          <cell r="C936" t="str">
            <v>18.福井県</v>
          </cell>
          <cell r="D936" t="str">
            <v>501</v>
          </cell>
          <cell r="E936" t="str">
            <v>若狭町</v>
          </cell>
          <cell r="F936" t="str">
            <v>02</v>
          </cell>
          <cell r="G936" t="str">
            <v>特環 単独</v>
          </cell>
          <cell r="H936" t="str">
            <v>特定環境保全公共下水道</v>
          </cell>
          <cell r="I936" t="str">
            <v>単独</v>
          </cell>
          <cell r="J936" t="str">
            <v>004</v>
          </cell>
          <cell r="K936" t="str">
            <v>海越浄化センター</v>
          </cell>
          <cell r="M936" t="str">
            <v>1</v>
          </cell>
          <cell r="Q936">
            <v>39173</v>
          </cell>
          <cell r="R936" t="str">
            <v>平成</v>
          </cell>
          <cell r="S936">
            <v>19</v>
          </cell>
          <cell r="T936">
            <v>4</v>
          </cell>
          <cell r="AB936">
            <v>488</v>
          </cell>
          <cell r="AF936">
            <v>15</v>
          </cell>
          <cell r="AI936" t="str">
            <v>若狭湾</v>
          </cell>
          <cell r="AQ936" t="str">
            <v/>
          </cell>
          <cell r="AR936" t="str">
            <v>その他処理方法</v>
          </cell>
          <cell r="AS936" t="str">
            <v>1850102004</v>
          </cell>
          <cell r="AT936" t="str">
            <v/>
          </cell>
          <cell r="AU936" t="str">
            <v>00</v>
          </cell>
          <cell r="AV936" t="str">
            <v>00</v>
          </cell>
          <cell r="AW936">
            <v>0</v>
          </cell>
          <cell r="AX936">
            <v>0</v>
          </cell>
          <cell r="AY936">
            <v>0</v>
          </cell>
          <cell r="AZ936">
            <v>0</v>
          </cell>
          <cell r="BA936">
            <v>0</v>
          </cell>
          <cell r="BD936" t="str">
            <v/>
          </cell>
          <cell r="BE936">
            <v>1</v>
          </cell>
          <cell r="BG936" t="str">
            <v>1000</v>
          </cell>
        </row>
        <row r="937">
          <cell r="B937" t="str">
            <v>G188010106100100</v>
          </cell>
          <cell r="C937" t="str">
            <v>18.福井県</v>
          </cell>
          <cell r="D937" t="str">
            <v>801</v>
          </cell>
          <cell r="E937" t="str">
            <v>五領川公共事務組合</v>
          </cell>
          <cell r="F937" t="str">
            <v>01</v>
          </cell>
          <cell r="G937" t="str">
            <v>公共 単独</v>
          </cell>
          <cell r="H937" t="str">
            <v>公共下水道</v>
          </cell>
          <cell r="I937" t="str">
            <v>単独</v>
          </cell>
          <cell r="J937" t="str">
            <v>001</v>
          </cell>
          <cell r="K937" t="str">
            <v>五領川浄化センター</v>
          </cell>
          <cell r="M937" t="str">
            <v>1</v>
          </cell>
          <cell r="N937" t="str">
            <v>1</v>
          </cell>
          <cell r="Q937">
            <v>30407</v>
          </cell>
          <cell r="R937" t="str">
            <v>昭和</v>
          </cell>
          <cell r="S937">
            <v>58</v>
          </cell>
          <cell r="T937">
            <v>4</v>
          </cell>
          <cell r="AB937">
            <v>23100</v>
          </cell>
          <cell r="AF937">
            <v>15</v>
          </cell>
          <cell r="AK937" t="str">
            <v>九頭竜川</v>
          </cell>
          <cell r="AQ937" t="str">
            <v/>
          </cell>
          <cell r="AR937" t="str">
            <v>標準活性汚泥法</v>
          </cell>
          <cell r="AS937" t="str">
            <v>1880101001</v>
          </cell>
          <cell r="AT937" t="str">
            <v/>
          </cell>
          <cell r="AU937" t="str">
            <v>10</v>
          </cell>
          <cell r="AV937" t="str">
            <v>10</v>
          </cell>
          <cell r="AW937">
            <v>0</v>
          </cell>
          <cell r="AX937">
            <v>0</v>
          </cell>
          <cell r="AY937">
            <v>0</v>
          </cell>
          <cell r="AZ937">
            <v>0</v>
          </cell>
          <cell r="BA937">
            <v>0</v>
          </cell>
          <cell r="BD937" t="str">
            <v/>
          </cell>
          <cell r="BE937">
            <v>1</v>
          </cell>
          <cell r="BG937" t="str">
            <v>1100</v>
          </cell>
        </row>
        <row r="938">
          <cell r="B938" t="str">
            <v>G190018106100100</v>
          </cell>
          <cell r="C938" t="str">
            <v>19.山梨県</v>
          </cell>
          <cell r="D938" t="str">
            <v>001</v>
          </cell>
          <cell r="E938" t="str">
            <v>富士北麓流域</v>
          </cell>
          <cell r="F938" t="str">
            <v>81</v>
          </cell>
          <cell r="G938" t="str">
            <v>流域</v>
          </cell>
          <cell r="H938" t="str">
            <v>流域下水道</v>
          </cell>
          <cell r="I938" t="str">
            <v/>
          </cell>
          <cell r="J938" t="str">
            <v>001</v>
          </cell>
          <cell r="K938" t="str">
            <v>富士北麓浄化センター</v>
          </cell>
          <cell r="M938" t="str">
            <v>1</v>
          </cell>
          <cell r="N938" t="str">
            <v>1</v>
          </cell>
          <cell r="Q938">
            <v>31594</v>
          </cell>
          <cell r="R938" t="str">
            <v>昭和</v>
          </cell>
          <cell r="S938">
            <v>61</v>
          </cell>
          <cell r="T938">
            <v>7</v>
          </cell>
          <cell r="AB938">
            <v>107000</v>
          </cell>
          <cell r="AC938" t="str">
            <v>相模川上流(1)</v>
          </cell>
          <cell r="AD938" t="str">
            <v>ＡＡ</v>
          </cell>
          <cell r="AE938" t="str">
            <v>イ</v>
          </cell>
          <cell r="AF938">
            <v>12</v>
          </cell>
          <cell r="AK938" t="str">
            <v>桂川</v>
          </cell>
          <cell r="AQ938" t="str">
            <v/>
          </cell>
          <cell r="AR938" t="str">
            <v>標準活性汚泥法</v>
          </cell>
          <cell r="AS938" t="str">
            <v>1900181001</v>
          </cell>
          <cell r="AT938" t="str">
            <v/>
          </cell>
          <cell r="AU938" t="str">
            <v>10</v>
          </cell>
          <cell r="AV938" t="str">
            <v>10</v>
          </cell>
          <cell r="AW938">
            <v>0</v>
          </cell>
          <cell r="AX938">
            <v>0</v>
          </cell>
          <cell r="AY938">
            <v>0</v>
          </cell>
          <cell r="AZ938">
            <v>0</v>
          </cell>
          <cell r="BA938">
            <v>0</v>
          </cell>
          <cell r="BD938" t="str">
            <v/>
          </cell>
          <cell r="BE938">
            <v>1</v>
          </cell>
          <cell r="BG938" t="str">
            <v>1100</v>
          </cell>
        </row>
        <row r="939">
          <cell r="B939" t="str">
            <v>G190028106100100</v>
          </cell>
          <cell r="C939" t="str">
            <v>19.山梨県</v>
          </cell>
          <cell r="D939" t="str">
            <v>002</v>
          </cell>
          <cell r="E939" t="str">
            <v>峡東流域</v>
          </cell>
          <cell r="F939" t="str">
            <v>81</v>
          </cell>
          <cell r="G939" t="str">
            <v>流域</v>
          </cell>
          <cell r="H939" t="str">
            <v>流域下水道</v>
          </cell>
          <cell r="I939" t="str">
            <v/>
          </cell>
          <cell r="J939" t="str">
            <v>001</v>
          </cell>
          <cell r="K939" t="str">
            <v>峡東浄化センター</v>
          </cell>
          <cell r="M939" t="str">
            <v>1</v>
          </cell>
          <cell r="N939" t="str">
            <v>1</v>
          </cell>
          <cell r="Q939">
            <v>32690</v>
          </cell>
          <cell r="R939" t="str">
            <v>平成</v>
          </cell>
          <cell r="S939">
            <v>1</v>
          </cell>
          <cell r="T939">
            <v>7</v>
          </cell>
          <cell r="AB939">
            <v>136000</v>
          </cell>
          <cell r="AC939" t="str">
            <v>富士川（３）</v>
          </cell>
          <cell r="AD939" t="str">
            <v>Ａ</v>
          </cell>
          <cell r="AE939" t="str">
            <v>ハ</v>
          </cell>
          <cell r="AF939">
            <v>10</v>
          </cell>
          <cell r="AK939" t="str">
            <v>笛吹川</v>
          </cell>
          <cell r="AQ939" t="str">
            <v/>
          </cell>
          <cell r="AR939" t="str">
            <v>標準活性汚泥法</v>
          </cell>
          <cell r="AS939" t="str">
            <v>1900281001</v>
          </cell>
          <cell r="AT939" t="str">
            <v/>
          </cell>
          <cell r="AU939" t="str">
            <v>10</v>
          </cell>
          <cell r="AV939" t="str">
            <v>10</v>
          </cell>
          <cell r="AW939">
            <v>0</v>
          </cell>
          <cell r="AX939">
            <v>0</v>
          </cell>
          <cell r="AY939">
            <v>0</v>
          </cell>
          <cell r="AZ939">
            <v>0</v>
          </cell>
          <cell r="BA939">
            <v>0</v>
          </cell>
          <cell r="BD939" t="str">
            <v/>
          </cell>
          <cell r="BE939">
            <v>1</v>
          </cell>
          <cell r="BG939" t="str">
            <v>1100</v>
          </cell>
        </row>
        <row r="940">
          <cell r="B940" t="str">
            <v>G190038106100100</v>
          </cell>
          <cell r="C940" t="str">
            <v>19.山梨県</v>
          </cell>
          <cell r="D940" t="str">
            <v>003</v>
          </cell>
          <cell r="E940" t="str">
            <v>釜無川流域</v>
          </cell>
          <cell r="F940" t="str">
            <v>81</v>
          </cell>
          <cell r="G940" t="str">
            <v>流域</v>
          </cell>
          <cell r="H940" t="str">
            <v>流域下水道</v>
          </cell>
          <cell r="I940" t="str">
            <v/>
          </cell>
          <cell r="J940" t="str">
            <v>001</v>
          </cell>
          <cell r="K940" t="str">
            <v>釜無川浄化センター</v>
          </cell>
          <cell r="M940" t="str">
            <v>1</v>
          </cell>
          <cell r="N940" t="str">
            <v>1</v>
          </cell>
          <cell r="Q940">
            <v>34060</v>
          </cell>
          <cell r="R940" t="str">
            <v>平成</v>
          </cell>
          <cell r="S940">
            <v>5</v>
          </cell>
          <cell r="T940">
            <v>4</v>
          </cell>
          <cell r="AB940">
            <v>115300</v>
          </cell>
          <cell r="AC940" t="str">
            <v>富士川</v>
          </cell>
          <cell r="AD940" t="str">
            <v>Ａ</v>
          </cell>
          <cell r="AE940" t="str">
            <v>ハ</v>
          </cell>
          <cell r="AF940">
            <v>15</v>
          </cell>
          <cell r="AK940" t="str">
            <v>坪川</v>
          </cell>
          <cell r="AQ940" t="str">
            <v/>
          </cell>
          <cell r="AR940" t="str">
            <v>標準活性汚泥法</v>
          </cell>
          <cell r="AS940" t="str">
            <v>1900381001</v>
          </cell>
          <cell r="AT940" t="str">
            <v/>
          </cell>
          <cell r="AU940" t="str">
            <v>10</v>
          </cell>
          <cell r="AV940" t="str">
            <v>10</v>
          </cell>
          <cell r="AW940">
            <v>0</v>
          </cell>
          <cell r="AX940">
            <v>0</v>
          </cell>
          <cell r="AY940">
            <v>0</v>
          </cell>
          <cell r="AZ940">
            <v>0</v>
          </cell>
          <cell r="BA940">
            <v>0</v>
          </cell>
          <cell r="BD940" t="str">
            <v/>
          </cell>
          <cell r="BE940">
            <v>1</v>
          </cell>
          <cell r="BG940" t="str">
            <v>1100</v>
          </cell>
        </row>
        <row r="941">
          <cell r="B941" t="str">
            <v>G190048106100100</v>
          </cell>
          <cell r="C941" t="str">
            <v>19.山梨県</v>
          </cell>
          <cell r="D941" t="str">
            <v>004</v>
          </cell>
          <cell r="E941" t="str">
            <v>桂川流域</v>
          </cell>
          <cell r="F941" t="str">
            <v>81</v>
          </cell>
          <cell r="G941" t="str">
            <v>流域</v>
          </cell>
          <cell r="H941" t="str">
            <v>流域下水道</v>
          </cell>
          <cell r="I941" t="str">
            <v/>
          </cell>
          <cell r="J941" t="str">
            <v>001</v>
          </cell>
          <cell r="K941" t="str">
            <v>桂川清流センター</v>
          </cell>
          <cell r="M941" t="str">
            <v>1</v>
          </cell>
          <cell r="N941" t="str">
            <v>1</v>
          </cell>
          <cell r="Q941">
            <v>38078</v>
          </cell>
          <cell r="R941" t="str">
            <v>平成</v>
          </cell>
          <cell r="S941">
            <v>16</v>
          </cell>
          <cell r="T941">
            <v>4</v>
          </cell>
          <cell r="AB941">
            <v>114200</v>
          </cell>
          <cell r="AC941" t="str">
            <v>相模川</v>
          </cell>
          <cell r="AD941" t="str">
            <v>Ａ</v>
          </cell>
          <cell r="AE941" t="str">
            <v>ハ</v>
          </cell>
          <cell r="AF941">
            <v>15</v>
          </cell>
          <cell r="AK941" t="str">
            <v>桂川</v>
          </cell>
          <cell r="AQ941" t="str">
            <v/>
          </cell>
          <cell r="AR941" t="str">
            <v>標準活性汚泥法</v>
          </cell>
          <cell r="AS941" t="str">
            <v>1900481001</v>
          </cell>
          <cell r="AT941" t="str">
            <v/>
          </cell>
          <cell r="AU941" t="str">
            <v>10</v>
          </cell>
          <cell r="AV941" t="str">
            <v>10</v>
          </cell>
          <cell r="AW941">
            <v>0</v>
          </cell>
          <cell r="AX941">
            <v>0</v>
          </cell>
          <cell r="AY941">
            <v>0</v>
          </cell>
          <cell r="AZ941">
            <v>0</v>
          </cell>
          <cell r="BA941">
            <v>0</v>
          </cell>
          <cell r="BD941" t="str">
            <v/>
          </cell>
          <cell r="BE941">
            <v>1</v>
          </cell>
          <cell r="BG941" t="str">
            <v>1100</v>
          </cell>
        </row>
        <row r="942">
          <cell r="B942" t="str">
            <v>G192010106100100</v>
          </cell>
          <cell r="C942" t="str">
            <v>19.山梨県</v>
          </cell>
          <cell r="D942" t="str">
            <v>201</v>
          </cell>
          <cell r="E942" t="str">
            <v>甲府市</v>
          </cell>
          <cell r="F942" t="str">
            <v>01</v>
          </cell>
          <cell r="G942" t="str">
            <v>公共 単独</v>
          </cell>
          <cell r="H942" t="str">
            <v>公共下水道</v>
          </cell>
          <cell r="I942" t="str">
            <v>単独</v>
          </cell>
          <cell r="J942" t="str">
            <v>001</v>
          </cell>
          <cell r="K942" t="str">
            <v>甲府市浄化センター</v>
          </cell>
          <cell r="M942" t="str">
            <v>1</v>
          </cell>
          <cell r="N942" t="str">
            <v>1</v>
          </cell>
          <cell r="O942" t="str">
            <v>1</v>
          </cell>
          <cell r="P942" t="str">
            <v>1</v>
          </cell>
          <cell r="Q942">
            <v>29434</v>
          </cell>
          <cell r="R942" t="str">
            <v>昭和</v>
          </cell>
          <cell r="S942">
            <v>55</v>
          </cell>
          <cell r="T942">
            <v>8</v>
          </cell>
          <cell r="AB942">
            <v>156100</v>
          </cell>
          <cell r="AC942" t="str">
            <v>富士川流域</v>
          </cell>
          <cell r="AD942" t="str">
            <v>Ａ</v>
          </cell>
          <cell r="AE942" t="str">
            <v>ハ</v>
          </cell>
          <cell r="AF942">
            <v>15</v>
          </cell>
          <cell r="AK942" t="str">
            <v>笛吹川</v>
          </cell>
          <cell r="AQ942" t="str">
            <v/>
          </cell>
          <cell r="AR942" t="str">
            <v>標準活性汚泥法</v>
          </cell>
          <cell r="AS942" t="str">
            <v>1920101001</v>
          </cell>
          <cell r="AT942" t="str">
            <v/>
          </cell>
          <cell r="AU942" t="str">
            <v>11</v>
          </cell>
          <cell r="AV942" t="str">
            <v>10</v>
          </cell>
          <cell r="AW942">
            <v>1</v>
          </cell>
          <cell r="AX942">
            <v>0</v>
          </cell>
          <cell r="AY942">
            <v>-1</v>
          </cell>
          <cell r="AZ942">
            <v>0</v>
          </cell>
          <cell r="BA942">
            <v>1</v>
          </cell>
          <cell r="BC942" t="str">
            <v>コンポスト休止</v>
          </cell>
          <cell r="BD942" t="str">
            <v>コンポスト休止</v>
          </cell>
          <cell r="BE942">
            <v>1</v>
          </cell>
          <cell r="BG942" t="str">
            <v>1111</v>
          </cell>
        </row>
        <row r="943">
          <cell r="B943" t="str">
            <v>G192080106100100</v>
          </cell>
          <cell r="C943" t="str">
            <v>19.山梨県</v>
          </cell>
          <cell r="D943" t="str">
            <v>208</v>
          </cell>
          <cell r="E943" t="str">
            <v>南アルプス市</v>
          </cell>
          <cell r="F943" t="str">
            <v>01</v>
          </cell>
          <cell r="G943" t="str">
            <v>公共 単独</v>
          </cell>
          <cell r="H943" t="str">
            <v>公共下水道</v>
          </cell>
          <cell r="I943" t="str">
            <v>単独</v>
          </cell>
          <cell r="J943" t="str">
            <v>001</v>
          </cell>
          <cell r="K943" t="str">
            <v>桃の丘処理場</v>
          </cell>
          <cell r="M943" t="str">
            <v>1</v>
          </cell>
          <cell r="N943" t="str">
            <v>1</v>
          </cell>
          <cell r="Q943">
            <v>34182</v>
          </cell>
          <cell r="R943" t="str">
            <v>平成</v>
          </cell>
          <cell r="S943">
            <v>5</v>
          </cell>
          <cell r="T943">
            <v>8</v>
          </cell>
          <cell r="AB943">
            <v>714</v>
          </cell>
          <cell r="AF943">
            <v>15</v>
          </cell>
          <cell r="AI943" t="str">
            <v>在家塚北部都市 下水路</v>
          </cell>
          <cell r="AL943" t="str">
            <v>駒場取水口</v>
          </cell>
          <cell r="AQ943" t="str">
            <v/>
          </cell>
          <cell r="AR943" t="str">
            <v>長時間エアレーション法</v>
          </cell>
          <cell r="AS943" t="str">
            <v>1920801001</v>
          </cell>
          <cell r="AT943" t="str">
            <v/>
          </cell>
          <cell r="AU943" t="str">
            <v>10</v>
          </cell>
          <cell r="AV943" t="str">
            <v>10</v>
          </cell>
          <cell r="AW943">
            <v>0</v>
          </cell>
          <cell r="AX943">
            <v>0</v>
          </cell>
          <cell r="AY943">
            <v>0</v>
          </cell>
          <cell r="AZ943">
            <v>0</v>
          </cell>
          <cell r="BA943">
            <v>0</v>
          </cell>
          <cell r="BD943" t="str">
            <v/>
          </cell>
          <cell r="BE943">
            <v>1</v>
          </cell>
          <cell r="BG943" t="str">
            <v>1100</v>
          </cell>
        </row>
        <row r="944">
          <cell r="B944" t="str">
            <v>G192090206100100</v>
          </cell>
          <cell r="C944" t="str">
            <v>19.山梨県</v>
          </cell>
          <cell r="D944" t="str">
            <v>209</v>
          </cell>
          <cell r="E944" t="str">
            <v>北杜市</v>
          </cell>
          <cell r="F944" t="str">
            <v>02</v>
          </cell>
          <cell r="G944" t="str">
            <v>特環 単独</v>
          </cell>
          <cell r="H944" t="str">
            <v>特定環境保全公共下水道</v>
          </cell>
          <cell r="I944" t="str">
            <v>単独</v>
          </cell>
          <cell r="J944" t="str">
            <v>001</v>
          </cell>
          <cell r="K944" t="str">
            <v>明野クリーンセンター</v>
          </cell>
          <cell r="M944" t="str">
            <v>1</v>
          </cell>
          <cell r="N944" t="str">
            <v>1</v>
          </cell>
          <cell r="Q944">
            <v>37347</v>
          </cell>
          <cell r="R944" t="str">
            <v>平成</v>
          </cell>
          <cell r="S944">
            <v>14</v>
          </cell>
          <cell r="T944">
            <v>4</v>
          </cell>
          <cell r="AB944">
            <v>7609</v>
          </cell>
          <cell r="AC944" t="str">
            <v>設定なし</v>
          </cell>
          <cell r="AF944">
            <v>15</v>
          </cell>
          <cell r="AK944" t="str">
            <v>塩川</v>
          </cell>
          <cell r="AQ944" t="str">
            <v/>
          </cell>
          <cell r="AR944" t="str">
            <v>オキシディションディッチ法</v>
          </cell>
          <cell r="AS944" t="str">
            <v>1920902001</v>
          </cell>
          <cell r="AT944" t="str">
            <v/>
          </cell>
          <cell r="AU944" t="str">
            <v>10</v>
          </cell>
          <cell r="AV944" t="str">
            <v>10</v>
          </cell>
          <cell r="AW944">
            <v>0</v>
          </cell>
          <cell r="AX944">
            <v>0</v>
          </cell>
          <cell r="AY944">
            <v>0</v>
          </cell>
          <cell r="AZ944">
            <v>0</v>
          </cell>
          <cell r="BA944">
            <v>0</v>
          </cell>
          <cell r="BD944" t="str">
            <v/>
          </cell>
          <cell r="BE944">
            <v>1</v>
          </cell>
          <cell r="BG944" t="str">
            <v>1100</v>
          </cell>
        </row>
        <row r="945">
          <cell r="B945" t="str">
            <v>G192090206100200</v>
          </cell>
          <cell r="C945" t="str">
            <v>19.山梨県</v>
          </cell>
          <cell r="D945" t="str">
            <v>209</v>
          </cell>
          <cell r="E945" t="str">
            <v>北杜市</v>
          </cell>
          <cell r="F945" t="str">
            <v>02</v>
          </cell>
          <cell r="G945" t="str">
            <v>特環 単独</v>
          </cell>
          <cell r="H945" t="str">
            <v>特定環境保全公共下水道</v>
          </cell>
          <cell r="I945" t="str">
            <v>単独</v>
          </cell>
          <cell r="J945" t="str">
            <v>002</v>
          </cell>
          <cell r="K945" t="str">
            <v>須玉第一浄化センター</v>
          </cell>
          <cell r="M945" t="str">
            <v>1</v>
          </cell>
          <cell r="N945" t="str">
            <v>1</v>
          </cell>
          <cell r="Q945">
            <v>37347</v>
          </cell>
          <cell r="R945" t="str">
            <v>平成</v>
          </cell>
          <cell r="S945">
            <v>14</v>
          </cell>
          <cell r="T945">
            <v>4</v>
          </cell>
          <cell r="AB945">
            <v>8512</v>
          </cell>
          <cell r="AC945" t="str">
            <v>設定なし</v>
          </cell>
          <cell r="AF945">
            <v>15</v>
          </cell>
          <cell r="AK945" t="str">
            <v>須玉川</v>
          </cell>
          <cell r="AQ945" t="str">
            <v/>
          </cell>
          <cell r="AR945" t="str">
            <v>回分式活性汚泥法</v>
          </cell>
          <cell r="AS945" t="str">
            <v>1920902002</v>
          </cell>
          <cell r="AT945" t="str">
            <v/>
          </cell>
          <cell r="AU945" t="str">
            <v>10</v>
          </cell>
          <cell r="AV945" t="str">
            <v>10</v>
          </cell>
          <cell r="AW945">
            <v>0</v>
          </cell>
          <cell r="AX945">
            <v>0</v>
          </cell>
          <cell r="AY945">
            <v>0</v>
          </cell>
          <cell r="AZ945">
            <v>0</v>
          </cell>
          <cell r="BA945">
            <v>0</v>
          </cell>
          <cell r="BD945" t="str">
            <v/>
          </cell>
          <cell r="BE945">
            <v>1</v>
          </cell>
          <cell r="BG945" t="str">
            <v>1100</v>
          </cell>
        </row>
        <row r="946">
          <cell r="B946" t="str">
            <v>G192090206100300</v>
          </cell>
          <cell r="C946" t="str">
            <v>19.山梨県</v>
          </cell>
          <cell r="D946" t="str">
            <v>209</v>
          </cell>
          <cell r="E946" t="str">
            <v>北杜市</v>
          </cell>
          <cell r="F946" t="str">
            <v>02</v>
          </cell>
          <cell r="G946" t="str">
            <v>特環 単独</v>
          </cell>
          <cell r="H946" t="str">
            <v>特定環境保全公共下水道</v>
          </cell>
          <cell r="I946" t="str">
            <v>単独</v>
          </cell>
          <cell r="J946" t="str">
            <v>003</v>
          </cell>
          <cell r="K946" t="str">
            <v>さくら団地浄化センター</v>
          </cell>
          <cell r="M946" t="str">
            <v>1</v>
          </cell>
          <cell r="N946" t="str">
            <v>1</v>
          </cell>
          <cell r="Q946">
            <v>35096</v>
          </cell>
          <cell r="R946" t="str">
            <v>平成</v>
          </cell>
          <cell r="S946">
            <v>8</v>
          </cell>
          <cell r="T946">
            <v>2</v>
          </cell>
          <cell r="AB946">
            <v>469</v>
          </cell>
          <cell r="AC946" t="str">
            <v>設定なし</v>
          </cell>
          <cell r="AF946">
            <v>15</v>
          </cell>
          <cell r="AK946" t="str">
            <v>須玉川</v>
          </cell>
          <cell r="AQ946" t="str">
            <v/>
          </cell>
          <cell r="AR946" t="str">
            <v>長時間エアレーション法</v>
          </cell>
          <cell r="AS946" t="str">
            <v>1920902003</v>
          </cell>
          <cell r="AT946" t="str">
            <v/>
          </cell>
          <cell r="AU946" t="str">
            <v>10</v>
          </cell>
          <cell r="AV946" t="str">
            <v>10</v>
          </cell>
          <cell r="AW946">
            <v>0</v>
          </cell>
          <cell r="AX946">
            <v>0</v>
          </cell>
          <cell r="AY946">
            <v>0</v>
          </cell>
          <cell r="AZ946">
            <v>0</v>
          </cell>
          <cell r="BA946">
            <v>0</v>
          </cell>
          <cell r="BD946" t="str">
            <v/>
          </cell>
          <cell r="BE946">
            <v>1</v>
          </cell>
          <cell r="BG946" t="str">
            <v>1100</v>
          </cell>
        </row>
        <row r="947">
          <cell r="B947" t="str">
            <v>G192090206100400</v>
          </cell>
          <cell r="C947" t="str">
            <v>19.山梨県</v>
          </cell>
          <cell r="D947" t="str">
            <v>209</v>
          </cell>
          <cell r="E947" t="str">
            <v>北杜市</v>
          </cell>
          <cell r="F947" t="str">
            <v>02</v>
          </cell>
          <cell r="G947" t="str">
            <v>特環 単独</v>
          </cell>
          <cell r="H947" t="str">
            <v>特定環境保全公共下水道</v>
          </cell>
          <cell r="I947" t="str">
            <v>単独</v>
          </cell>
          <cell r="J947" t="str">
            <v>004</v>
          </cell>
          <cell r="K947" t="str">
            <v>清里クリーンセンター</v>
          </cell>
          <cell r="M947" t="str">
            <v>1</v>
          </cell>
          <cell r="Q947">
            <v>31898</v>
          </cell>
          <cell r="R947" t="str">
            <v>昭和</v>
          </cell>
          <cell r="S947">
            <v>62</v>
          </cell>
          <cell r="T947">
            <v>5</v>
          </cell>
          <cell r="AB947">
            <v>3660</v>
          </cell>
          <cell r="AC947" t="str">
            <v>設定なし</v>
          </cell>
          <cell r="AF947">
            <v>15</v>
          </cell>
          <cell r="AK947" t="str">
            <v>久保川</v>
          </cell>
          <cell r="AL947" t="str">
            <v>大門ダム</v>
          </cell>
          <cell r="AN947">
            <v>5</v>
          </cell>
          <cell r="AO947" t="str">
            <v>北杜市</v>
          </cell>
          <cell r="AQ947" t="str">
            <v/>
          </cell>
          <cell r="AR947" t="str">
            <v>嫌気好気ろ床法</v>
          </cell>
          <cell r="AS947" t="str">
            <v>1920902004</v>
          </cell>
          <cell r="AT947" t="str">
            <v/>
          </cell>
          <cell r="AU947" t="str">
            <v>00</v>
          </cell>
          <cell r="AV947" t="str">
            <v>00</v>
          </cell>
          <cell r="AW947">
            <v>0</v>
          </cell>
          <cell r="AX947">
            <v>0</v>
          </cell>
          <cell r="AY947">
            <v>0</v>
          </cell>
          <cell r="AZ947">
            <v>0</v>
          </cell>
          <cell r="BA947">
            <v>0</v>
          </cell>
          <cell r="BD947" t="str">
            <v/>
          </cell>
          <cell r="BE947">
            <v>1</v>
          </cell>
          <cell r="BG947" t="str">
            <v>1000</v>
          </cell>
        </row>
        <row r="948">
          <cell r="B948" t="str">
            <v>G192090206100500</v>
          </cell>
          <cell r="C948" t="str">
            <v>19.山梨県</v>
          </cell>
          <cell r="D948" t="str">
            <v>209</v>
          </cell>
          <cell r="E948" t="str">
            <v>北杜市</v>
          </cell>
          <cell r="F948" t="str">
            <v>02</v>
          </cell>
          <cell r="G948" t="str">
            <v>特環 単独</v>
          </cell>
          <cell r="H948" t="str">
            <v>特定環境保全公共下水道</v>
          </cell>
          <cell r="I948" t="str">
            <v>単独</v>
          </cell>
          <cell r="J948" t="str">
            <v>005</v>
          </cell>
          <cell r="K948" t="str">
            <v>清里南部クリーンセンター</v>
          </cell>
          <cell r="M948" t="str">
            <v>1</v>
          </cell>
          <cell r="Q948">
            <v>35156</v>
          </cell>
          <cell r="R948" t="str">
            <v>平成</v>
          </cell>
          <cell r="S948">
            <v>8</v>
          </cell>
          <cell r="T948">
            <v>4</v>
          </cell>
          <cell r="AB948">
            <v>7094</v>
          </cell>
          <cell r="AC948" t="str">
            <v>設定なし</v>
          </cell>
          <cell r="AF948">
            <v>15</v>
          </cell>
          <cell r="AK948" t="str">
            <v>久保川</v>
          </cell>
          <cell r="AL948" t="str">
            <v>大門ダム</v>
          </cell>
          <cell r="AN948">
            <v>3</v>
          </cell>
          <cell r="AO948" t="str">
            <v>北杜市</v>
          </cell>
          <cell r="AQ948" t="str">
            <v/>
          </cell>
          <cell r="AR948" t="str">
            <v>嫌気好気ろ床法</v>
          </cell>
          <cell r="AS948" t="str">
            <v>1920902005</v>
          </cell>
          <cell r="AT948" t="str">
            <v/>
          </cell>
          <cell r="AU948" t="str">
            <v>00</v>
          </cell>
          <cell r="AV948" t="str">
            <v>00</v>
          </cell>
          <cell r="AW948">
            <v>0</v>
          </cell>
          <cell r="AX948">
            <v>0</v>
          </cell>
          <cell r="AY948">
            <v>0</v>
          </cell>
          <cell r="AZ948">
            <v>0</v>
          </cell>
          <cell r="BA948">
            <v>0</v>
          </cell>
          <cell r="BD948" t="str">
            <v/>
          </cell>
          <cell r="BE948">
            <v>1</v>
          </cell>
          <cell r="BG948" t="str">
            <v>1000</v>
          </cell>
        </row>
        <row r="949">
          <cell r="B949" t="str">
            <v>G192090206100600</v>
          </cell>
          <cell r="C949" t="str">
            <v>19.山梨県</v>
          </cell>
          <cell r="D949" t="str">
            <v>209</v>
          </cell>
          <cell r="E949" t="str">
            <v>北杜市</v>
          </cell>
          <cell r="F949" t="str">
            <v>02</v>
          </cell>
          <cell r="G949" t="str">
            <v>特環 単独</v>
          </cell>
          <cell r="H949" t="str">
            <v>特定環境保全公共下水道</v>
          </cell>
          <cell r="I949" t="str">
            <v>単独</v>
          </cell>
          <cell r="J949" t="str">
            <v>006</v>
          </cell>
          <cell r="K949" t="str">
            <v>中央クリーンセンター</v>
          </cell>
          <cell r="M949" t="str">
            <v>1</v>
          </cell>
          <cell r="Q949">
            <v>36251</v>
          </cell>
          <cell r="R949" t="str">
            <v>平成</v>
          </cell>
          <cell r="S949">
            <v>11</v>
          </cell>
          <cell r="T949">
            <v>4</v>
          </cell>
          <cell r="AB949">
            <v>7737</v>
          </cell>
          <cell r="AC949" t="str">
            <v>設定なし</v>
          </cell>
          <cell r="AF949">
            <v>15</v>
          </cell>
          <cell r="AK949" t="str">
            <v>甲川</v>
          </cell>
          <cell r="AQ949" t="str">
            <v/>
          </cell>
          <cell r="AR949" t="str">
            <v>嫌気好気ろ床法</v>
          </cell>
          <cell r="AS949" t="str">
            <v>1920902006</v>
          </cell>
          <cell r="AT949" t="str">
            <v/>
          </cell>
          <cell r="AU949" t="str">
            <v>00</v>
          </cell>
          <cell r="AV949" t="str">
            <v>00</v>
          </cell>
          <cell r="AW949">
            <v>0</v>
          </cell>
          <cell r="AX949">
            <v>0</v>
          </cell>
          <cell r="AY949">
            <v>0</v>
          </cell>
          <cell r="AZ949">
            <v>0</v>
          </cell>
          <cell r="BA949">
            <v>0</v>
          </cell>
          <cell r="BD949" t="str">
            <v/>
          </cell>
          <cell r="BE949">
            <v>1</v>
          </cell>
          <cell r="BG949" t="str">
            <v>1000</v>
          </cell>
        </row>
        <row r="950">
          <cell r="B950" t="str">
            <v>G192090206100700</v>
          </cell>
          <cell r="C950" t="str">
            <v>19.山梨県</v>
          </cell>
          <cell r="D950" t="str">
            <v>209</v>
          </cell>
          <cell r="E950" t="str">
            <v>北杜市</v>
          </cell>
          <cell r="F950" t="str">
            <v>02</v>
          </cell>
          <cell r="G950" t="str">
            <v>特環 単独</v>
          </cell>
          <cell r="H950" t="str">
            <v>特定環境保全公共下水道</v>
          </cell>
          <cell r="I950" t="str">
            <v>単独</v>
          </cell>
          <cell r="J950" t="str">
            <v>007</v>
          </cell>
          <cell r="K950" t="str">
            <v>長坂浄化センター</v>
          </cell>
          <cell r="M950" t="str">
            <v>1</v>
          </cell>
          <cell r="N950" t="str">
            <v>1</v>
          </cell>
          <cell r="Q950">
            <v>35156</v>
          </cell>
          <cell r="R950" t="str">
            <v>平成</v>
          </cell>
          <cell r="S950">
            <v>8</v>
          </cell>
          <cell r="T950">
            <v>4</v>
          </cell>
          <cell r="AB950">
            <v>3970</v>
          </cell>
          <cell r="AC950" t="str">
            <v>設定なし</v>
          </cell>
          <cell r="AF950">
            <v>15</v>
          </cell>
          <cell r="AK950" t="str">
            <v>白井沢宮川</v>
          </cell>
          <cell r="AQ950" t="str">
            <v/>
          </cell>
          <cell r="AR950" t="str">
            <v>回分式活性汚泥法</v>
          </cell>
          <cell r="AS950" t="str">
            <v>1920902007</v>
          </cell>
          <cell r="AT950" t="str">
            <v/>
          </cell>
          <cell r="AU950" t="str">
            <v>10</v>
          </cell>
          <cell r="AV950" t="str">
            <v>10</v>
          </cell>
          <cell r="AW950">
            <v>0</v>
          </cell>
          <cell r="AX950">
            <v>0</v>
          </cell>
          <cell r="AY950">
            <v>0</v>
          </cell>
          <cell r="AZ950">
            <v>0</v>
          </cell>
          <cell r="BA950">
            <v>0</v>
          </cell>
          <cell r="BD950" t="str">
            <v/>
          </cell>
          <cell r="BE950">
            <v>1</v>
          </cell>
          <cell r="BG950" t="str">
            <v>1100</v>
          </cell>
        </row>
        <row r="951">
          <cell r="B951" t="str">
            <v>G192090206100800</v>
          </cell>
          <cell r="C951" t="str">
            <v>19.山梨県</v>
          </cell>
          <cell r="D951" t="str">
            <v>209</v>
          </cell>
          <cell r="E951" t="str">
            <v>北杜市</v>
          </cell>
          <cell r="F951" t="str">
            <v>02</v>
          </cell>
          <cell r="G951" t="str">
            <v>特環 単独</v>
          </cell>
          <cell r="H951" t="str">
            <v>特定環境保全公共下水道</v>
          </cell>
          <cell r="I951" t="str">
            <v>単独</v>
          </cell>
          <cell r="J951" t="str">
            <v>008</v>
          </cell>
          <cell r="K951" t="str">
            <v>小荒間浄化センター</v>
          </cell>
          <cell r="M951" t="str">
            <v>1</v>
          </cell>
          <cell r="N951" t="str">
            <v>1</v>
          </cell>
          <cell r="Q951">
            <v>35156</v>
          </cell>
          <cell r="R951" t="str">
            <v>平成</v>
          </cell>
          <cell r="S951">
            <v>8</v>
          </cell>
          <cell r="T951">
            <v>4</v>
          </cell>
          <cell r="AB951">
            <v>2750</v>
          </cell>
          <cell r="AC951" t="str">
            <v>設定なし</v>
          </cell>
          <cell r="AF951">
            <v>15</v>
          </cell>
          <cell r="AK951" t="str">
            <v>高川</v>
          </cell>
          <cell r="AQ951" t="str">
            <v/>
          </cell>
          <cell r="AR951" t="str">
            <v>回分式活性汚泥法</v>
          </cell>
          <cell r="AS951" t="str">
            <v>1920902008</v>
          </cell>
          <cell r="AT951" t="str">
            <v/>
          </cell>
          <cell r="AU951" t="str">
            <v>10</v>
          </cell>
          <cell r="AV951" t="str">
            <v>10</v>
          </cell>
          <cell r="AW951">
            <v>0</v>
          </cell>
          <cell r="AX951">
            <v>0</v>
          </cell>
          <cell r="AY951">
            <v>0</v>
          </cell>
          <cell r="AZ951">
            <v>0</v>
          </cell>
          <cell r="BA951">
            <v>0</v>
          </cell>
          <cell r="BD951" t="str">
            <v/>
          </cell>
          <cell r="BE951">
            <v>1</v>
          </cell>
          <cell r="BG951" t="str">
            <v>1100</v>
          </cell>
        </row>
        <row r="952">
          <cell r="B952" t="str">
            <v>G192090206100900</v>
          </cell>
          <cell r="C952" t="str">
            <v>19.山梨県</v>
          </cell>
          <cell r="D952" t="str">
            <v>209</v>
          </cell>
          <cell r="E952" t="str">
            <v>北杜市</v>
          </cell>
          <cell r="F952" t="str">
            <v>02</v>
          </cell>
          <cell r="G952" t="str">
            <v>特環 単独</v>
          </cell>
          <cell r="H952" t="str">
            <v>特定環境保全公共下水道</v>
          </cell>
          <cell r="I952" t="str">
            <v>単独</v>
          </cell>
          <cell r="J952" t="str">
            <v>009</v>
          </cell>
          <cell r="K952" t="str">
            <v>日野春浄化センター</v>
          </cell>
          <cell r="M952" t="str">
            <v>1</v>
          </cell>
          <cell r="N952" t="str">
            <v>1</v>
          </cell>
          <cell r="Q952">
            <v>36617</v>
          </cell>
          <cell r="R952" t="str">
            <v>平成</v>
          </cell>
          <cell r="S952">
            <v>12</v>
          </cell>
          <cell r="T952">
            <v>4</v>
          </cell>
          <cell r="AB952">
            <v>5317</v>
          </cell>
          <cell r="AC952" t="str">
            <v>富士川</v>
          </cell>
          <cell r="AD952" t="str">
            <v>Ａ</v>
          </cell>
          <cell r="AE952" t="str">
            <v>ロ</v>
          </cell>
          <cell r="AF952">
            <v>15</v>
          </cell>
          <cell r="AK952" t="str">
            <v>鳩川</v>
          </cell>
          <cell r="AQ952" t="str">
            <v/>
          </cell>
          <cell r="AR952" t="str">
            <v>回分式活性汚泥法</v>
          </cell>
          <cell r="AS952" t="str">
            <v>1920902009</v>
          </cell>
          <cell r="AT952" t="str">
            <v/>
          </cell>
          <cell r="AU952" t="str">
            <v>10</v>
          </cell>
          <cell r="AV952" t="str">
            <v>10</v>
          </cell>
          <cell r="AW952">
            <v>0</v>
          </cell>
          <cell r="AX952">
            <v>0</v>
          </cell>
          <cell r="AY952">
            <v>0</v>
          </cell>
          <cell r="AZ952">
            <v>0</v>
          </cell>
          <cell r="BA952">
            <v>0</v>
          </cell>
          <cell r="BD952" t="str">
            <v/>
          </cell>
          <cell r="BE952">
            <v>1</v>
          </cell>
          <cell r="BG952" t="str">
            <v>1100</v>
          </cell>
        </row>
        <row r="953">
          <cell r="B953" t="str">
            <v>G192090206101000</v>
          </cell>
          <cell r="C953" t="str">
            <v>19.山梨県</v>
          </cell>
          <cell r="D953" t="str">
            <v>209</v>
          </cell>
          <cell r="E953" t="str">
            <v>北杜市</v>
          </cell>
          <cell r="F953" t="str">
            <v>02</v>
          </cell>
          <cell r="G953" t="str">
            <v>特環 単独</v>
          </cell>
          <cell r="H953" t="str">
            <v>特定環境保全公共下水道</v>
          </cell>
          <cell r="I953" t="str">
            <v>単独</v>
          </cell>
          <cell r="J953" t="str">
            <v>010</v>
          </cell>
          <cell r="K953" t="str">
            <v>大泉浄化センター</v>
          </cell>
          <cell r="M953" t="str">
            <v>1</v>
          </cell>
          <cell r="N953" t="str">
            <v>1</v>
          </cell>
          <cell r="Q953">
            <v>36586</v>
          </cell>
          <cell r="R953" t="str">
            <v>平成</v>
          </cell>
          <cell r="S953">
            <v>12</v>
          </cell>
          <cell r="T953">
            <v>3</v>
          </cell>
          <cell r="AB953">
            <v>18998</v>
          </cell>
          <cell r="AC953" t="str">
            <v>富士川</v>
          </cell>
          <cell r="AD953" t="str">
            <v>Ａ</v>
          </cell>
          <cell r="AE953" t="str">
            <v>ロ</v>
          </cell>
          <cell r="AF953">
            <v>15</v>
          </cell>
          <cell r="AJ953" t="str">
            <v>泉川</v>
          </cell>
          <cell r="AQ953" t="str">
            <v/>
          </cell>
          <cell r="AR953" t="str">
            <v>オキシディションディッチ法</v>
          </cell>
          <cell r="AS953" t="str">
            <v>1920902010</v>
          </cell>
          <cell r="AT953" t="str">
            <v/>
          </cell>
          <cell r="AU953" t="str">
            <v>10</v>
          </cell>
          <cell r="AV953" t="str">
            <v>10</v>
          </cell>
          <cell r="AW953">
            <v>0</v>
          </cell>
          <cell r="AX953">
            <v>0</v>
          </cell>
          <cell r="AY953">
            <v>0</v>
          </cell>
          <cell r="AZ953">
            <v>0</v>
          </cell>
          <cell r="BA953">
            <v>0</v>
          </cell>
          <cell r="BD953" t="str">
            <v/>
          </cell>
          <cell r="BE953">
            <v>1</v>
          </cell>
          <cell r="BG953" t="str">
            <v>1100</v>
          </cell>
        </row>
        <row r="954">
          <cell r="B954" t="str">
            <v>G192090206101100</v>
          </cell>
          <cell r="C954" t="str">
            <v>19.山梨県</v>
          </cell>
          <cell r="D954" t="str">
            <v>209</v>
          </cell>
          <cell r="E954" t="str">
            <v>北杜市</v>
          </cell>
          <cell r="F954" t="str">
            <v>02</v>
          </cell>
          <cell r="G954" t="str">
            <v>特環 単独</v>
          </cell>
          <cell r="H954" t="str">
            <v>特定環境保全公共下水道</v>
          </cell>
          <cell r="I954" t="str">
            <v>単独</v>
          </cell>
          <cell r="J954" t="str">
            <v>011</v>
          </cell>
          <cell r="K954" t="str">
            <v>中部浄化センター</v>
          </cell>
          <cell r="M954" t="str">
            <v>1</v>
          </cell>
          <cell r="N954" t="str">
            <v>1</v>
          </cell>
          <cell r="Q954">
            <v>34881</v>
          </cell>
          <cell r="R954" t="str">
            <v>平成</v>
          </cell>
          <cell r="S954">
            <v>7</v>
          </cell>
          <cell r="T954">
            <v>7</v>
          </cell>
          <cell r="AB954">
            <v>7642</v>
          </cell>
          <cell r="AC954" t="str">
            <v>富士川</v>
          </cell>
          <cell r="AD954" t="str">
            <v>Ａ</v>
          </cell>
          <cell r="AE954" t="str">
            <v>ロ</v>
          </cell>
          <cell r="AF954">
            <v>15</v>
          </cell>
          <cell r="AK954" t="str">
            <v>西沢川</v>
          </cell>
          <cell r="AQ954" t="str">
            <v/>
          </cell>
          <cell r="AR954" t="str">
            <v>回分式活性汚泥法</v>
          </cell>
          <cell r="AS954" t="str">
            <v>1920902011</v>
          </cell>
          <cell r="AT954" t="str">
            <v/>
          </cell>
          <cell r="AU954" t="str">
            <v>10</v>
          </cell>
          <cell r="AV954" t="str">
            <v>10</v>
          </cell>
          <cell r="AW954">
            <v>0</v>
          </cell>
          <cell r="AX954">
            <v>0</v>
          </cell>
          <cell r="AY954">
            <v>0</v>
          </cell>
          <cell r="AZ954">
            <v>0</v>
          </cell>
          <cell r="BA954">
            <v>0</v>
          </cell>
          <cell r="BD954" t="str">
            <v/>
          </cell>
          <cell r="BE954">
            <v>1</v>
          </cell>
          <cell r="BG954" t="str">
            <v>1100</v>
          </cell>
        </row>
        <row r="955">
          <cell r="B955" t="str">
            <v>G192090206101200</v>
          </cell>
          <cell r="C955" t="str">
            <v>19.山梨県</v>
          </cell>
          <cell r="D955" t="str">
            <v>209</v>
          </cell>
          <cell r="E955" t="str">
            <v>北杜市</v>
          </cell>
          <cell r="F955" t="str">
            <v>02</v>
          </cell>
          <cell r="G955" t="str">
            <v>特環 単独</v>
          </cell>
          <cell r="H955" t="str">
            <v>特定環境保全公共下水道</v>
          </cell>
          <cell r="I955" t="str">
            <v>単独</v>
          </cell>
          <cell r="J955" t="str">
            <v>012</v>
          </cell>
          <cell r="K955" t="str">
            <v>東部浄化センター</v>
          </cell>
          <cell r="M955" t="str">
            <v>1</v>
          </cell>
          <cell r="N955" t="str">
            <v>1</v>
          </cell>
          <cell r="Q955">
            <v>37895</v>
          </cell>
          <cell r="R955" t="str">
            <v>平成</v>
          </cell>
          <cell r="S955">
            <v>15</v>
          </cell>
          <cell r="T955">
            <v>10</v>
          </cell>
          <cell r="AB955">
            <v>1830</v>
          </cell>
          <cell r="AC955" t="str">
            <v>富士川</v>
          </cell>
          <cell r="AD955" t="str">
            <v>Ａ</v>
          </cell>
          <cell r="AE955" t="str">
            <v>ロ</v>
          </cell>
          <cell r="AF955">
            <v>15</v>
          </cell>
          <cell r="AK955" t="str">
            <v>頭佐沢川</v>
          </cell>
          <cell r="AQ955" t="str">
            <v/>
          </cell>
          <cell r="AR955" t="str">
            <v>オキシディションディッチ法</v>
          </cell>
          <cell r="AS955" t="str">
            <v>1920902012</v>
          </cell>
          <cell r="AT955" t="str">
            <v/>
          </cell>
          <cell r="AU955" t="str">
            <v>10</v>
          </cell>
          <cell r="AV955" t="str">
            <v>10</v>
          </cell>
          <cell r="AW955">
            <v>0</v>
          </cell>
          <cell r="AX955">
            <v>0</v>
          </cell>
          <cell r="AY955">
            <v>0</v>
          </cell>
          <cell r="AZ955">
            <v>0</v>
          </cell>
          <cell r="BA955">
            <v>0</v>
          </cell>
          <cell r="BD955" t="str">
            <v/>
          </cell>
          <cell r="BE955">
            <v>1</v>
          </cell>
          <cell r="BG955" t="str">
            <v>1100</v>
          </cell>
        </row>
        <row r="956">
          <cell r="B956" t="str">
            <v>G192090206101300</v>
          </cell>
          <cell r="C956" t="str">
            <v>19.山梨県</v>
          </cell>
          <cell r="D956" t="str">
            <v>209</v>
          </cell>
          <cell r="E956" t="str">
            <v>北杜市</v>
          </cell>
          <cell r="F956" t="str">
            <v>02</v>
          </cell>
          <cell r="G956" t="str">
            <v>特環 単独</v>
          </cell>
          <cell r="H956" t="str">
            <v>特定環境保全公共下水道</v>
          </cell>
          <cell r="I956" t="str">
            <v>単独</v>
          </cell>
          <cell r="J956" t="str">
            <v>013</v>
          </cell>
          <cell r="K956" t="str">
            <v>武川浄化センター</v>
          </cell>
          <cell r="M956" t="str">
            <v>1</v>
          </cell>
          <cell r="N956" t="str">
            <v>1</v>
          </cell>
          <cell r="Q956">
            <v>39173</v>
          </cell>
          <cell r="R956" t="str">
            <v>平成</v>
          </cell>
          <cell r="S956">
            <v>19</v>
          </cell>
          <cell r="T956">
            <v>4</v>
          </cell>
          <cell r="AB956">
            <v>3000</v>
          </cell>
          <cell r="AC956" t="str">
            <v>設定なし</v>
          </cell>
          <cell r="AF956">
            <v>15</v>
          </cell>
          <cell r="AK956" t="str">
            <v>黒澤川</v>
          </cell>
          <cell r="AQ956" t="str">
            <v/>
          </cell>
          <cell r="AR956" t="str">
            <v>オキシディションディッチ法</v>
          </cell>
          <cell r="AS956" t="str">
            <v>1920902013</v>
          </cell>
          <cell r="AT956" t="str">
            <v/>
          </cell>
          <cell r="AU956" t="str">
            <v>10</v>
          </cell>
          <cell r="AV956" t="str">
            <v>10</v>
          </cell>
          <cell r="AW956">
            <v>0</v>
          </cell>
          <cell r="AX956">
            <v>0</v>
          </cell>
          <cell r="AY956">
            <v>0</v>
          </cell>
          <cell r="AZ956">
            <v>0</v>
          </cell>
          <cell r="BA956">
            <v>0</v>
          </cell>
          <cell r="BD956" t="str">
            <v/>
          </cell>
          <cell r="BE956">
            <v>1</v>
          </cell>
          <cell r="BG956" t="str">
            <v>1100</v>
          </cell>
        </row>
        <row r="957">
          <cell r="B957" t="str">
            <v>G192130206100100</v>
          </cell>
          <cell r="C957" t="str">
            <v>19.山梨県</v>
          </cell>
          <cell r="D957" t="str">
            <v>213</v>
          </cell>
          <cell r="E957" t="str">
            <v>甲州市</v>
          </cell>
          <cell r="F957" t="str">
            <v>02</v>
          </cell>
          <cell r="G957" t="str">
            <v>特環 単独</v>
          </cell>
          <cell r="H957" t="str">
            <v>特定環境保全公共下水道</v>
          </cell>
          <cell r="I957" t="str">
            <v>単独</v>
          </cell>
          <cell r="J957" t="str">
            <v>001</v>
          </cell>
          <cell r="K957" t="str">
            <v>大和浄化センター</v>
          </cell>
          <cell r="M957" t="str">
            <v>1</v>
          </cell>
          <cell r="N957" t="str">
            <v>1</v>
          </cell>
          <cell r="Q957">
            <v>36982</v>
          </cell>
          <cell r="R957" t="str">
            <v>平成</v>
          </cell>
          <cell r="S957">
            <v>13</v>
          </cell>
          <cell r="T957">
            <v>4</v>
          </cell>
          <cell r="AB957">
            <v>5032</v>
          </cell>
          <cell r="AC957" t="str">
            <v>設定なし</v>
          </cell>
          <cell r="AF957">
            <v>20</v>
          </cell>
          <cell r="AK957" t="str">
            <v>日川</v>
          </cell>
          <cell r="AQ957" t="str">
            <v/>
          </cell>
          <cell r="AR957" t="str">
            <v>オキシディションディッチ法</v>
          </cell>
          <cell r="AS957" t="str">
            <v>1921302001</v>
          </cell>
          <cell r="AT957" t="str">
            <v/>
          </cell>
          <cell r="AU957" t="str">
            <v>10</v>
          </cell>
          <cell r="AV957" t="str">
            <v>10</v>
          </cell>
          <cell r="AW957">
            <v>0</v>
          </cell>
          <cell r="AX957">
            <v>0</v>
          </cell>
          <cell r="AY957">
            <v>0</v>
          </cell>
          <cell r="AZ957">
            <v>0</v>
          </cell>
          <cell r="BA957">
            <v>0</v>
          </cell>
          <cell r="BD957" t="str">
            <v/>
          </cell>
          <cell r="BE957">
            <v>1</v>
          </cell>
          <cell r="BG957" t="str">
            <v>1100</v>
          </cell>
        </row>
        <row r="958">
          <cell r="B958" t="str">
            <v>G193460206100100</v>
          </cell>
          <cell r="C958" t="str">
            <v>19.山梨県</v>
          </cell>
          <cell r="D958" t="str">
            <v>346</v>
          </cell>
          <cell r="E958" t="str">
            <v>市川三郷町</v>
          </cell>
          <cell r="F958" t="str">
            <v>02</v>
          </cell>
          <cell r="G958" t="str">
            <v>特環 単独</v>
          </cell>
          <cell r="H958" t="str">
            <v>特定環境保全公共下水道</v>
          </cell>
          <cell r="I958" t="str">
            <v>単独</v>
          </cell>
          <cell r="J958" t="str">
            <v>001</v>
          </cell>
          <cell r="K958" t="str">
            <v>六郷浄化センター</v>
          </cell>
          <cell r="M958" t="str">
            <v>1</v>
          </cell>
          <cell r="N958" t="str">
            <v>1</v>
          </cell>
          <cell r="Q958">
            <v>36342</v>
          </cell>
          <cell r="R958" t="str">
            <v>平成</v>
          </cell>
          <cell r="S958">
            <v>11</v>
          </cell>
          <cell r="T958">
            <v>7</v>
          </cell>
          <cell r="AB958">
            <v>8610</v>
          </cell>
          <cell r="AC958" t="str">
            <v>富士川</v>
          </cell>
          <cell r="AD958" t="str">
            <v>Ａ</v>
          </cell>
          <cell r="AE958" t="str">
            <v>ハ</v>
          </cell>
          <cell r="AF958">
            <v>15</v>
          </cell>
          <cell r="AK958" t="str">
            <v>富士川</v>
          </cell>
          <cell r="AL958" t="str">
            <v>芝間水源</v>
          </cell>
          <cell r="AM958">
            <v>2.1</v>
          </cell>
          <cell r="AO958" t="str">
            <v>市川三郷町</v>
          </cell>
          <cell r="AQ958" t="str">
            <v/>
          </cell>
          <cell r="AR958" t="str">
            <v>オキシディションディッチ法</v>
          </cell>
          <cell r="AS958" t="str">
            <v>1934602001</v>
          </cell>
          <cell r="AT958" t="str">
            <v/>
          </cell>
          <cell r="AU958" t="str">
            <v>10</v>
          </cell>
          <cell r="AV958" t="str">
            <v>10</v>
          </cell>
          <cell r="AW958">
            <v>0</v>
          </cell>
          <cell r="AX958">
            <v>0</v>
          </cell>
          <cell r="AY958">
            <v>0</v>
          </cell>
          <cell r="AZ958">
            <v>0</v>
          </cell>
          <cell r="BA958">
            <v>0</v>
          </cell>
          <cell r="BD958" t="str">
            <v/>
          </cell>
          <cell r="BE958">
            <v>1</v>
          </cell>
          <cell r="BG958" t="str">
            <v>1100</v>
          </cell>
        </row>
        <row r="959">
          <cell r="B959" t="str">
            <v>G193640206100100</v>
          </cell>
          <cell r="C959" t="str">
            <v>19.山梨県</v>
          </cell>
          <cell r="D959" t="str">
            <v>364</v>
          </cell>
          <cell r="E959" t="str">
            <v>早川町</v>
          </cell>
          <cell r="F959" t="str">
            <v>02</v>
          </cell>
          <cell r="G959" t="str">
            <v>特環 単独</v>
          </cell>
          <cell r="H959" t="str">
            <v>特定環境保全公共下水道</v>
          </cell>
          <cell r="I959" t="str">
            <v>単独</v>
          </cell>
          <cell r="J959" t="str">
            <v>001</v>
          </cell>
          <cell r="K959" t="str">
            <v>赤沢宿浄化センター</v>
          </cell>
          <cell r="M959" t="str">
            <v>1</v>
          </cell>
          <cell r="N959" t="str">
            <v>1</v>
          </cell>
          <cell r="Q959">
            <v>32964</v>
          </cell>
          <cell r="R959" t="str">
            <v>平成</v>
          </cell>
          <cell r="S959">
            <v>2</v>
          </cell>
          <cell r="T959">
            <v>4</v>
          </cell>
          <cell r="AB959">
            <v>541</v>
          </cell>
          <cell r="AF959">
            <v>20</v>
          </cell>
          <cell r="AK959" t="str">
            <v>春木川</v>
          </cell>
          <cell r="AQ959" t="str">
            <v/>
          </cell>
          <cell r="AR959" t="str">
            <v>好気性ろ床法</v>
          </cell>
          <cell r="AS959" t="str">
            <v>1936402001</v>
          </cell>
          <cell r="AT959" t="str">
            <v/>
          </cell>
          <cell r="AU959" t="str">
            <v>10</v>
          </cell>
          <cell r="AV959" t="str">
            <v>10</v>
          </cell>
          <cell r="AW959">
            <v>0</v>
          </cell>
          <cell r="AX959">
            <v>0</v>
          </cell>
          <cell r="AY959">
            <v>0</v>
          </cell>
          <cell r="AZ959">
            <v>0</v>
          </cell>
          <cell r="BA959">
            <v>0</v>
          </cell>
          <cell r="BD959" t="str">
            <v/>
          </cell>
          <cell r="BE959">
            <v>1</v>
          </cell>
          <cell r="BG959" t="str">
            <v>1100</v>
          </cell>
        </row>
        <row r="960">
          <cell r="B960" t="str">
            <v>G193650106100100</v>
          </cell>
          <cell r="C960" t="str">
            <v>19.山梨県</v>
          </cell>
          <cell r="D960" t="str">
            <v>365</v>
          </cell>
          <cell r="E960" t="str">
            <v>身延町</v>
          </cell>
          <cell r="F960" t="str">
            <v>01</v>
          </cell>
          <cell r="G960" t="str">
            <v>公共 単独</v>
          </cell>
          <cell r="H960" t="str">
            <v>公共下水道</v>
          </cell>
          <cell r="I960" t="str">
            <v>単独</v>
          </cell>
          <cell r="J960" t="str">
            <v>001</v>
          </cell>
          <cell r="K960" t="str">
            <v>角打、丸滝浄化センター</v>
          </cell>
          <cell r="M960" t="str">
            <v>1</v>
          </cell>
          <cell r="N960" t="str">
            <v>1</v>
          </cell>
          <cell r="Q960">
            <v>35156</v>
          </cell>
          <cell r="R960" t="str">
            <v>平成</v>
          </cell>
          <cell r="S960">
            <v>8</v>
          </cell>
          <cell r="T960">
            <v>4</v>
          </cell>
          <cell r="AB960">
            <v>2100</v>
          </cell>
          <cell r="AC960" t="str">
            <v>富士川</v>
          </cell>
          <cell r="AD960" t="str">
            <v>Ａ</v>
          </cell>
          <cell r="AE960" t="str">
            <v>ロ</v>
          </cell>
          <cell r="AF960">
            <v>15</v>
          </cell>
          <cell r="AI960" t="str">
            <v>１(富士川)</v>
          </cell>
          <cell r="AK960" t="str">
            <v>南沢川</v>
          </cell>
          <cell r="AQ960" t="str">
            <v/>
          </cell>
          <cell r="AR960" t="str">
            <v>オキシディションディッチ法</v>
          </cell>
          <cell r="AS960" t="str">
            <v>1936501001</v>
          </cell>
          <cell r="AT960" t="str">
            <v/>
          </cell>
          <cell r="AU960" t="str">
            <v>10</v>
          </cell>
          <cell r="AV960" t="str">
            <v>10</v>
          </cell>
          <cell r="AW960">
            <v>0</v>
          </cell>
          <cell r="AX960">
            <v>0</v>
          </cell>
          <cell r="AY960">
            <v>0</v>
          </cell>
          <cell r="AZ960">
            <v>0</v>
          </cell>
          <cell r="BA960">
            <v>0</v>
          </cell>
          <cell r="BD960" t="str">
            <v/>
          </cell>
          <cell r="BE960">
            <v>1</v>
          </cell>
          <cell r="BG960" t="str">
            <v>1100</v>
          </cell>
        </row>
        <row r="961">
          <cell r="B961" t="str">
            <v>G193650106100200</v>
          </cell>
          <cell r="C961" t="str">
            <v>19.山梨県</v>
          </cell>
          <cell r="D961" t="str">
            <v>365</v>
          </cell>
          <cell r="E961" t="str">
            <v>身延町</v>
          </cell>
          <cell r="F961" t="str">
            <v>01</v>
          </cell>
          <cell r="G961" t="str">
            <v>公共 単独</v>
          </cell>
          <cell r="H961" t="str">
            <v>公共下水道</v>
          </cell>
          <cell r="I961" t="str">
            <v>単独</v>
          </cell>
          <cell r="J961" t="str">
            <v>002</v>
          </cell>
          <cell r="K961" t="str">
            <v>身延浄化センター</v>
          </cell>
          <cell r="M961" t="str">
            <v>1</v>
          </cell>
          <cell r="N961" t="str">
            <v>1</v>
          </cell>
          <cell r="Q961">
            <v>39965</v>
          </cell>
          <cell r="R961" t="str">
            <v>平成</v>
          </cell>
          <cell r="S961">
            <v>21</v>
          </cell>
          <cell r="T961">
            <v>6</v>
          </cell>
          <cell r="AB961">
            <v>6500</v>
          </cell>
          <cell r="AC961" t="str">
            <v>富士川</v>
          </cell>
          <cell r="AD961" t="str">
            <v>Ａ</v>
          </cell>
          <cell r="AE961" t="str">
            <v>ロ</v>
          </cell>
          <cell r="AF961">
            <v>15</v>
          </cell>
          <cell r="AI961" t="str">
            <v>蛇石沢川</v>
          </cell>
          <cell r="AQ961" t="str">
            <v/>
          </cell>
          <cell r="AR961" t="str">
            <v>土壌被覆型礫間接触法</v>
          </cell>
          <cell r="AS961" t="str">
            <v>1936501002</v>
          </cell>
          <cell r="AT961" t="str">
            <v/>
          </cell>
          <cell r="AU961" t="str">
            <v>10</v>
          </cell>
          <cell r="AV961" t="str">
            <v>10</v>
          </cell>
          <cell r="AW961">
            <v>0</v>
          </cell>
          <cell r="AX961">
            <v>0</v>
          </cell>
          <cell r="AY961">
            <v>0</v>
          </cell>
          <cell r="AZ961">
            <v>0</v>
          </cell>
          <cell r="BA961">
            <v>0</v>
          </cell>
          <cell r="BD961" t="str">
            <v/>
          </cell>
          <cell r="BE961">
            <v>1</v>
          </cell>
          <cell r="BG961" t="str">
            <v>1100</v>
          </cell>
        </row>
        <row r="962">
          <cell r="B962" t="str">
            <v>G193650206100300</v>
          </cell>
          <cell r="C962" t="str">
            <v>19.山梨県</v>
          </cell>
          <cell r="D962" t="str">
            <v>365</v>
          </cell>
          <cell r="E962" t="str">
            <v>身延町</v>
          </cell>
          <cell r="F962" t="str">
            <v>02</v>
          </cell>
          <cell r="G962" t="str">
            <v>特環 単独</v>
          </cell>
          <cell r="H962" t="str">
            <v>特定環境保全公共下水道</v>
          </cell>
          <cell r="I962" t="str">
            <v>単独</v>
          </cell>
          <cell r="J962" t="str">
            <v>003</v>
          </cell>
          <cell r="K962" t="str">
            <v>帯金、塩之沢浄化センター</v>
          </cell>
          <cell r="M962" t="str">
            <v>1</v>
          </cell>
          <cell r="N962" t="str">
            <v>1</v>
          </cell>
          <cell r="Q962">
            <v>33695</v>
          </cell>
          <cell r="R962" t="str">
            <v>平成</v>
          </cell>
          <cell r="S962">
            <v>4</v>
          </cell>
          <cell r="T962">
            <v>4</v>
          </cell>
          <cell r="AB962">
            <v>1918</v>
          </cell>
          <cell r="AC962" t="str">
            <v>富士川</v>
          </cell>
          <cell r="AD962" t="str">
            <v>Ａ</v>
          </cell>
          <cell r="AE962" t="str">
            <v>ハ</v>
          </cell>
          <cell r="AF962">
            <v>20</v>
          </cell>
          <cell r="AI962" t="str">
            <v>1(富士川)</v>
          </cell>
          <cell r="AK962" t="str">
            <v>金竜寺沢川</v>
          </cell>
          <cell r="AQ962" t="str">
            <v/>
          </cell>
          <cell r="AR962" t="str">
            <v>オキシディションディッチ法</v>
          </cell>
          <cell r="AS962" t="str">
            <v>1936502003</v>
          </cell>
          <cell r="AT962" t="str">
            <v/>
          </cell>
          <cell r="AU962" t="str">
            <v>10</v>
          </cell>
          <cell r="AV962" t="str">
            <v>10</v>
          </cell>
          <cell r="AW962">
            <v>0</v>
          </cell>
          <cell r="AX962">
            <v>0</v>
          </cell>
          <cell r="AY962">
            <v>0</v>
          </cell>
          <cell r="AZ962">
            <v>0</v>
          </cell>
          <cell r="BA962">
            <v>0</v>
          </cell>
          <cell r="BD962" t="str">
            <v/>
          </cell>
          <cell r="BE962">
            <v>1</v>
          </cell>
          <cell r="BG962" t="str">
            <v>1100</v>
          </cell>
        </row>
        <row r="963">
          <cell r="B963" t="str">
            <v>G193650206100400</v>
          </cell>
          <cell r="C963" t="str">
            <v>19.山梨県</v>
          </cell>
          <cell r="D963" t="str">
            <v>365</v>
          </cell>
          <cell r="E963" t="str">
            <v>身延町</v>
          </cell>
          <cell r="F963" t="str">
            <v>02</v>
          </cell>
          <cell r="G963" t="str">
            <v>特環 単独</v>
          </cell>
          <cell r="H963" t="str">
            <v>特定環境保全公共下水道</v>
          </cell>
          <cell r="I963" t="str">
            <v>単独</v>
          </cell>
          <cell r="J963" t="str">
            <v>004</v>
          </cell>
          <cell r="K963" t="str">
            <v>中富浄化センター</v>
          </cell>
          <cell r="M963" t="str">
            <v>1</v>
          </cell>
          <cell r="N963" t="str">
            <v>1</v>
          </cell>
          <cell r="Q963">
            <v>37438</v>
          </cell>
          <cell r="R963" t="str">
            <v>平成</v>
          </cell>
          <cell r="S963">
            <v>14</v>
          </cell>
          <cell r="T963">
            <v>7</v>
          </cell>
          <cell r="AB963">
            <v>14600</v>
          </cell>
          <cell r="AC963" t="str">
            <v>富士川</v>
          </cell>
          <cell r="AD963" t="str">
            <v>Ａ</v>
          </cell>
          <cell r="AE963" t="str">
            <v>ハ</v>
          </cell>
          <cell r="AF963">
            <v>15</v>
          </cell>
          <cell r="AK963" t="str">
            <v>富士川</v>
          </cell>
          <cell r="AQ963" t="str">
            <v/>
          </cell>
          <cell r="AR963" t="str">
            <v>オキシディションディッチ法</v>
          </cell>
          <cell r="AS963" t="str">
            <v>1936502004</v>
          </cell>
          <cell r="AT963" t="str">
            <v/>
          </cell>
          <cell r="AU963" t="str">
            <v>10</v>
          </cell>
          <cell r="AV963" t="str">
            <v>10</v>
          </cell>
          <cell r="AW963">
            <v>0</v>
          </cell>
          <cell r="AX963">
            <v>0</v>
          </cell>
          <cell r="AY963">
            <v>0</v>
          </cell>
          <cell r="AZ963">
            <v>0</v>
          </cell>
          <cell r="BA963">
            <v>0</v>
          </cell>
          <cell r="BD963" t="str">
            <v/>
          </cell>
          <cell r="BE963">
            <v>1</v>
          </cell>
          <cell r="BG963" t="str">
            <v>1100</v>
          </cell>
        </row>
        <row r="964">
          <cell r="B964" t="str">
            <v>G193650206100500</v>
          </cell>
          <cell r="C964" t="str">
            <v>19.山梨県</v>
          </cell>
          <cell r="D964" t="str">
            <v>365</v>
          </cell>
          <cell r="E964" t="str">
            <v>身延町</v>
          </cell>
          <cell r="F964" t="str">
            <v>02</v>
          </cell>
          <cell r="G964" t="str">
            <v>特環 単独</v>
          </cell>
          <cell r="H964" t="str">
            <v>特定環境保全公共下水道</v>
          </cell>
          <cell r="I964" t="str">
            <v>単独</v>
          </cell>
          <cell r="J964" t="str">
            <v>005</v>
          </cell>
          <cell r="K964" t="str">
            <v>下部浄化センター</v>
          </cell>
          <cell r="M964" t="str">
            <v>1</v>
          </cell>
          <cell r="Q964">
            <v>40452</v>
          </cell>
          <cell r="R964" t="str">
            <v>平成</v>
          </cell>
          <cell r="S964">
            <v>22</v>
          </cell>
          <cell r="T964">
            <v>10</v>
          </cell>
          <cell r="AB964">
            <v>4073</v>
          </cell>
          <cell r="AC964" t="str">
            <v>富士川</v>
          </cell>
          <cell r="AD964" t="str">
            <v>Ａ</v>
          </cell>
          <cell r="AE964" t="str">
            <v>ハ</v>
          </cell>
          <cell r="AF964">
            <v>15</v>
          </cell>
          <cell r="AK964" t="str">
            <v>常葉川</v>
          </cell>
          <cell r="AQ964" t="str">
            <v/>
          </cell>
          <cell r="AR964" t="str">
            <v>土壌被覆型礫間接触法</v>
          </cell>
          <cell r="AS964" t="str">
            <v>1936502005</v>
          </cell>
          <cell r="AT964" t="str">
            <v/>
          </cell>
          <cell r="AU964" t="str">
            <v>00</v>
          </cell>
          <cell r="AV964" t="str">
            <v>00</v>
          </cell>
          <cell r="AW964">
            <v>0</v>
          </cell>
          <cell r="AX964">
            <v>0</v>
          </cell>
          <cell r="AY964">
            <v>0</v>
          </cell>
          <cell r="AZ964">
            <v>0</v>
          </cell>
          <cell r="BA964">
            <v>0</v>
          </cell>
          <cell r="BD964" t="str">
            <v/>
          </cell>
          <cell r="BE964">
            <v>1</v>
          </cell>
          <cell r="BG964" t="str">
            <v>1000</v>
          </cell>
        </row>
        <row r="965">
          <cell r="B965" t="str">
            <v>G194300206100100</v>
          </cell>
          <cell r="C965" t="str">
            <v>19.山梨県</v>
          </cell>
          <cell r="D965" t="str">
            <v>430</v>
          </cell>
          <cell r="E965" t="str">
            <v>富士河口湖町</v>
          </cell>
          <cell r="F965" t="str">
            <v>02</v>
          </cell>
          <cell r="G965" t="str">
            <v>特環 単独</v>
          </cell>
          <cell r="H965" t="str">
            <v>特定環境保全公共下水道</v>
          </cell>
          <cell r="I965" t="str">
            <v>単独</v>
          </cell>
          <cell r="J965" t="str">
            <v>001</v>
          </cell>
          <cell r="K965" t="str">
            <v>精進浄化センター</v>
          </cell>
          <cell r="M965" t="str">
            <v>1</v>
          </cell>
          <cell r="Q965">
            <v>36342</v>
          </cell>
          <cell r="R965" t="str">
            <v>平成</v>
          </cell>
          <cell r="S965">
            <v>11</v>
          </cell>
          <cell r="T965">
            <v>7</v>
          </cell>
          <cell r="AB965">
            <v>2765</v>
          </cell>
          <cell r="AC965" t="str">
            <v>精進湖</v>
          </cell>
          <cell r="AD965" t="str">
            <v>Ａ</v>
          </cell>
          <cell r="AF965">
            <v>15</v>
          </cell>
          <cell r="AI965" t="str">
            <v>苗積沢</v>
          </cell>
          <cell r="AL965" t="str">
            <v>笈の峠</v>
          </cell>
          <cell r="AM965">
            <v>0.3</v>
          </cell>
          <cell r="AO965" t="str">
            <v>富士河口湖町</v>
          </cell>
          <cell r="AQ965" t="str">
            <v/>
          </cell>
          <cell r="AR965" t="str">
            <v>高度処理オキシディションディッチ法</v>
          </cell>
          <cell r="AS965" t="str">
            <v>1943002001</v>
          </cell>
          <cell r="AT965">
            <v>1</v>
          </cell>
          <cell r="AU965" t="str">
            <v>00</v>
          </cell>
          <cell r="AV965" t="str">
            <v>00</v>
          </cell>
          <cell r="AW965">
            <v>0</v>
          </cell>
          <cell r="AX965">
            <v>0</v>
          </cell>
          <cell r="AY965">
            <v>0</v>
          </cell>
          <cell r="AZ965">
            <v>0</v>
          </cell>
          <cell r="BA965">
            <v>0</v>
          </cell>
          <cell r="BD965" t="str">
            <v/>
          </cell>
          <cell r="BE965">
            <v>1</v>
          </cell>
          <cell r="BG965" t="str">
            <v>1000</v>
          </cell>
        </row>
        <row r="966">
          <cell r="B966" t="str">
            <v>G194420206100100</v>
          </cell>
          <cell r="C966" t="str">
            <v>19.山梨県</v>
          </cell>
          <cell r="D966" t="str">
            <v>442</v>
          </cell>
          <cell r="E966" t="str">
            <v>小菅村</v>
          </cell>
          <cell r="F966" t="str">
            <v>02</v>
          </cell>
          <cell r="G966" t="str">
            <v>特環 単独</v>
          </cell>
          <cell r="H966" t="str">
            <v>特定環境保全公共下水道</v>
          </cell>
          <cell r="I966" t="str">
            <v>単独</v>
          </cell>
          <cell r="J966" t="str">
            <v>001</v>
          </cell>
          <cell r="K966" t="str">
            <v>多摩清流苑</v>
          </cell>
          <cell r="M966" t="str">
            <v>1</v>
          </cell>
          <cell r="N966" t="str">
            <v>1</v>
          </cell>
          <cell r="Q966">
            <v>32234</v>
          </cell>
          <cell r="R966" t="str">
            <v>昭和</v>
          </cell>
          <cell r="S966">
            <v>63</v>
          </cell>
          <cell r="T966">
            <v>4</v>
          </cell>
          <cell r="AB966">
            <v>10300</v>
          </cell>
          <cell r="AC966" t="str">
            <v>小菅川</v>
          </cell>
          <cell r="AD966" t="str">
            <v>ＡＡ</v>
          </cell>
          <cell r="AE966" t="str">
            <v>イ</v>
          </cell>
          <cell r="AF966">
            <v>5</v>
          </cell>
          <cell r="AH966">
            <v>0.5</v>
          </cell>
          <cell r="AK966" t="str">
            <v>小菅川</v>
          </cell>
          <cell r="AQ966" t="str">
            <v/>
          </cell>
          <cell r="AR966" t="str">
            <v>高度処理オキシディションディッチ法</v>
          </cell>
          <cell r="AS966" t="str">
            <v>1944202001</v>
          </cell>
          <cell r="AT966" t="str">
            <v/>
          </cell>
          <cell r="AU966" t="str">
            <v>10</v>
          </cell>
          <cell r="AV966" t="str">
            <v>10</v>
          </cell>
          <cell r="AW966">
            <v>0</v>
          </cell>
          <cell r="AX966">
            <v>0</v>
          </cell>
          <cell r="AY966">
            <v>0</v>
          </cell>
          <cell r="AZ966">
            <v>0</v>
          </cell>
          <cell r="BA966">
            <v>0</v>
          </cell>
          <cell r="BD966" t="str">
            <v/>
          </cell>
          <cell r="BE966">
            <v>1</v>
          </cell>
          <cell r="BG966" t="str">
            <v>1100</v>
          </cell>
        </row>
        <row r="967">
          <cell r="B967" t="str">
            <v>G194430206100100</v>
          </cell>
          <cell r="C967" t="str">
            <v>19.山梨県</v>
          </cell>
          <cell r="D967" t="str">
            <v>443</v>
          </cell>
          <cell r="E967" t="str">
            <v>丹波山村</v>
          </cell>
          <cell r="F967" t="str">
            <v>02</v>
          </cell>
          <cell r="G967" t="str">
            <v>特環 単独</v>
          </cell>
          <cell r="H967" t="str">
            <v>特定環境保全公共下水道</v>
          </cell>
          <cell r="I967" t="str">
            <v>単独</v>
          </cell>
          <cell r="J967" t="str">
            <v>001</v>
          </cell>
          <cell r="K967" t="str">
            <v>丹波山浄化センター</v>
          </cell>
          <cell r="M967" t="str">
            <v>1</v>
          </cell>
          <cell r="N967" t="str">
            <v>1</v>
          </cell>
          <cell r="Q967">
            <v>32051</v>
          </cell>
          <cell r="R967" t="str">
            <v>昭和</v>
          </cell>
          <cell r="S967">
            <v>62</v>
          </cell>
          <cell r="T967">
            <v>10</v>
          </cell>
          <cell r="AB967">
            <v>3900</v>
          </cell>
          <cell r="AC967" t="str">
            <v>多摩川上流（１）</v>
          </cell>
          <cell r="AD967" t="str">
            <v>ＡＡ</v>
          </cell>
          <cell r="AE967" t="str">
            <v>イ</v>
          </cell>
          <cell r="AF967">
            <v>5</v>
          </cell>
          <cell r="AH967">
            <v>0.5</v>
          </cell>
          <cell r="AK967" t="str">
            <v>多摩川（丹波川）</v>
          </cell>
          <cell r="AQ967" t="str">
            <v/>
          </cell>
          <cell r="AR967" t="str">
            <v>高度処理オキシディションディッチ法</v>
          </cell>
          <cell r="AS967" t="str">
            <v>1944302001</v>
          </cell>
          <cell r="AT967" t="str">
            <v/>
          </cell>
          <cell r="AU967" t="str">
            <v>10</v>
          </cell>
          <cell r="AV967" t="str">
            <v>10</v>
          </cell>
          <cell r="AW967">
            <v>0</v>
          </cell>
          <cell r="AX967">
            <v>0</v>
          </cell>
          <cell r="AY967">
            <v>0</v>
          </cell>
          <cell r="AZ967">
            <v>0</v>
          </cell>
          <cell r="BA967">
            <v>0</v>
          </cell>
          <cell r="BD967" t="str">
            <v/>
          </cell>
          <cell r="BE967">
            <v>1</v>
          </cell>
          <cell r="BG967" t="str">
            <v>1100</v>
          </cell>
        </row>
        <row r="968">
          <cell r="B968" t="str">
            <v>G200018106100100</v>
          </cell>
          <cell r="C968" t="str">
            <v>20.長野県</v>
          </cell>
          <cell r="D968" t="str">
            <v>001</v>
          </cell>
          <cell r="E968" t="str">
            <v>諏訪湖流域</v>
          </cell>
          <cell r="F968" t="str">
            <v>81</v>
          </cell>
          <cell r="G968" t="str">
            <v>流域</v>
          </cell>
          <cell r="H968" t="str">
            <v>流域下水道</v>
          </cell>
          <cell r="I968" t="str">
            <v/>
          </cell>
          <cell r="J968" t="str">
            <v>001</v>
          </cell>
          <cell r="K968" t="str">
            <v>豊田終末処理場</v>
          </cell>
          <cell r="M968" t="str">
            <v>1</v>
          </cell>
          <cell r="N968" t="str">
            <v>1</v>
          </cell>
          <cell r="O968" t="str">
            <v>1</v>
          </cell>
          <cell r="P968" t="str">
            <v>1</v>
          </cell>
          <cell r="Q968">
            <v>29129</v>
          </cell>
          <cell r="R968" t="str">
            <v>昭和</v>
          </cell>
          <cell r="S968">
            <v>54</v>
          </cell>
          <cell r="T968">
            <v>10</v>
          </cell>
          <cell r="AB968">
            <v>187000</v>
          </cell>
          <cell r="AC968" t="str">
            <v>諏訪湖</v>
          </cell>
          <cell r="AD968" t="str">
            <v>Ａ</v>
          </cell>
          <cell r="AE968" t="str">
            <v>ハ</v>
          </cell>
          <cell r="AF968">
            <v>5</v>
          </cell>
          <cell r="AG968">
            <v>14</v>
          </cell>
          <cell r="AH968">
            <v>1.9</v>
          </cell>
          <cell r="AI968" t="str">
            <v>諏訪湖</v>
          </cell>
          <cell r="AQ968" t="str">
            <v/>
          </cell>
          <cell r="AR968" t="str">
            <v>循環式硝化脱窒法</v>
          </cell>
          <cell r="AS968" t="str">
            <v>2000181001</v>
          </cell>
          <cell r="AT968" t="str">
            <v/>
          </cell>
          <cell r="AU968" t="str">
            <v>11</v>
          </cell>
          <cell r="AV968" t="str">
            <v>11</v>
          </cell>
          <cell r="AW968">
            <v>1</v>
          </cell>
          <cell r="AX968">
            <v>0</v>
          </cell>
          <cell r="AY968">
            <v>0</v>
          </cell>
          <cell r="AZ968">
            <v>0</v>
          </cell>
          <cell r="BA968">
            <v>0</v>
          </cell>
          <cell r="BD968" t="str">
            <v/>
          </cell>
          <cell r="BE968">
            <v>1</v>
          </cell>
          <cell r="BG968" t="str">
            <v>1111</v>
          </cell>
        </row>
        <row r="969">
          <cell r="B969" t="str">
            <v>G200028106100100</v>
          </cell>
          <cell r="C969" t="str">
            <v>20.長野県</v>
          </cell>
          <cell r="D969" t="str">
            <v>002</v>
          </cell>
          <cell r="E969" t="str">
            <v>千曲川流域</v>
          </cell>
          <cell r="F969" t="str">
            <v>81</v>
          </cell>
          <cell r="G969" t="str">
            <v>流域</v>
          </cell>
          <cell r="H969" t="str">
            <v>流域下水道</v>
          </cell>
          <cell r="I969" t="str">
            <v/>
          </cell>
          <cell r="J969" t="str">
            <v>001</v>
          </cell>
          <cell r="K969" t="str">
            <v>下流処理区終末処理場</v>
          </cell>
          <cell r="M969" t="str">
            <v>1</v>
          </cell>
          <cell r="N969" t="str">
            <v>1</v>
          </cell>
          <cell r="Q969">
            <v>33298</v>
          </cell>
          <cell r="R969" t="str">
            <v>平成</v>
          </cell>
          <cell r="S969">
            <v>3</v>
          </cell>
          <cell r="T969">
            <v>3</v>
          </cell>
          <cell r="AB969">
            <v>119100</v>
          </cell>
          <cell r="AC969" t="str">
            <v>信濃川上流（千曲川）</v>
          </cell>
          <cell r="AD969" t="str">
            <v>Ａ</v>
          </cell>
          <cell r="AE969" t="str">
            <v>ロ</v>
          </cell>
          <cell r="AF969">
            <v>15</v>
          </cell>
          <cell r="AK969" t="str">
            <v>千曲川</v>
          </cell>
          <cell r="AL969" t="str">
            <v>中野市水道</v>
          </cell>
          <cell r="AN969">
            <v>16.2</v>
          </cell>
          <cell r="AO969" t="str">
            <v>中野市</v>
          </cell>
          <cell r="AQ969" t="str">
            <v/>
          </cell>
          <cell r="AR969" t="str">
            <v>標準活性汚泥法</v>
          </cell>
          <cell r="AS969" t="str">
            <v>2000281001</v>
          </cell>
          <cell r="AT969" t="str">
            <v/>
          </cell>
          <cell r="AU969" t="str">
            <v>10</v>
          </cell>
          <cell r="AV969" t="str">
            <v>10</v>
          </cell>
          <cell r="AW969">
            <v>0</v>
          </cell>
          <cell r="AX969">
            <v>0</v>
          </cell>
          <cell r="AY969">
            <v>0</v>
          </cell>
          <cell r="AZ969">
            <v>0</v>
          </cell>
          <cell r="BA969">
            <v>0</v>
          </cell>
          <cell r="BD969" t="str">
            <v/>
          </cell>
          <cell r="BE969">
            <v>1</v>
          </cell>
          <cell r="BG969" t="str">
            <v>1100</v>
          </cell>
        </row>
        <row r="970">
          <cell r="B970" t="str">
            <v>G200028106100200</v>
          </cell>
          <cell r="C970" t="str">
            <v>20.長野県</v>
          </cell>
          <cell r="D970" t="str">
            <v>002</v>
          </cell>
          <cell r="E970" t="str">
            <v>千曲川流域</v>
          </cell>
          <cell r="F970" t="str">
            <v>81</v>
          </cell>
          <cell r="G970" t="str">
            <v>流域</v>
          </cell>
          <cell r="H970" t="str">
            <v>流域下水道</v>
          </cell>
          <cell r="I970" t="str">
            <v/>
          </cell>
          <cell r="J970" t="str">
            <v>002</v>
          </cell>
          <cell r="K970" t="str">
            <v>上流処理区終末処理場</v>
          </cell>
          <cell r="M970" t="str">
            <v>1</v>
          </cell>
          <cell r="N970" t="str">
            <v>1</v>
          </cell>
          <cell r="Q970">
            <v>35339</v>
          </cell>
          <cell r="R970" t="str">
            <v>平成</v>
          </cell>
          <cell r="S970">
            <v>8</v>
          </cell>
          <cell r="T970">
            <v>10</v>
          </cell>
          <cell r="AB970">
            <v>140000</v>
          </cell>
          <cell r="AC970" t="str">
            <v>信濃川上流（千曲川）</v>
          </cell>
          <cell r="AD970" t="str">
            <v>Ａ</v>
          </cell>
          <cell r="AE970" t="str">
            <v>ロ</v>
          </cell>
          <cell r="AF970">
            <v>15</v>
          </cell>
          <cell r="AK970" t="str">
            <v>千曲川</v>
          </cell>
          <cell r="AL970" t="str">
            <v>長野市松代水道</v>
          </cell>
          <cell r="AM970">
            <v>8.8000000000000007</v>
          </cell>
          <cell r="AO970" t="str">
            <v>長野市</v>
          </cell>
          <cell r="AQ970" t="str">
            <v/>
          </cell>
          <cell r="AR970" t="str">
            <v>標準活性汚泥法</v>
          </cell>
          <cell r="AS970" t="str">
            <v>2000281002</v>
          </cell>
          <cell r="AT970" t="str">
            <v/>
          </cell>
          <cell r="AU970" t="str">
            <v>10</v>
          </cell>
          <cell r="AV970" t="str">
            <v>10</v>
          </cell>
          <cell r="AW970">
            <v>0</v>
          </cell>
          <cell r="AX970">
            <v>0</v>
          </cell>
          <cell r="AY970">
            <v>0</v>
          </cell>
          <cell r="AZ970">
            <v>0</v>
          </cell>
          <cell r="BA970">
            <v>0</v>
          </cell>
          <cell r="BD970" t="str">
            <v/>
          </cell>
          <cell r="BE970">
            <v>1</v>
          </cell>
          <cell r="BG970" t="str">
            <v>1100</v>
          </cell>
        </row>
        <row r="971">
          <cell r="B971" t="str">
            <v>G200038106100100</v>
          </cell>
          <cell r="C971" t="str">
            <v>20.長野県</v>
          </cell>
          <cell r="D971" t="str">
            <v>003</v>
          </cell>
          <cell r="E971" t="str">
            <v>犀川安曇野流域</v>
          </cell>
          <cell r="F971" t="str">
            <v>81</v>
          </cell>
          <cell r="G971" t="str">
            <v>流域</v>
          </cell>
          <cell r="H971" t="str">
            <v>流域下水道</v>
          </cell>
          <cell r="I971" t="str">
            <v/>
          </cell>
          <cell r="J971" t="str">
            <v>001</v>
          </cell>
          <cell r="K971" t="str">
            <v>安曇野終末処理場</v>
          </cell>
          <cell r="M971" t="str">
            <v>1</v>
          </cell>
          <cell r="N971" t="str">
            <v>1</v>
          </cell>
          <cell r="Q971">
            <v>35765</v>
          </cell>
          <cell r="R971" t="str">
            <v>平成</v>
          </cell>
          <cell r="S971">
            <v>9</v>
          </cell>
          <cell r="T971">
            <v>12</v>
          </cell>
          <cell r="AB971">
            <v>78299</v>
          </cell>
          <cell r="AC971" t="str">
            <v>犀川(3)</v>
          </cell>
          <cell r="AD971" t="str">
            <v>Ａ</v>
          </cell>
          <cell r="AE971" t="str">
            <v>ロ</v>
          </cell>
          <cell r="AF971">
            <v>15</v>
          </cell>
          <cell r="AK971" t="str">
            <v>犀川</v>
          </cell>
          <cell r="AL971" t="str">
            <v>平ダム</v>
          </cell>
          <cell r="AN971">
            <v>27</v>
          </cell>
          <cell r="AO971" t="str">
            <v>長野市、生坂村</v>
          </cell>
          <cell r="AQ971" t="str">
            <v/>
          </cell>
          <cell r="AR971" t="str">
            <v>標準活性汚泥法</v>
          </cell>
          <cell r="AS971" t="str">
            <v>2000381001</v>
          </cell>
          <cell r="AT971" t="str">
            <v/>
          </cell>
          <cell r="AU971" t="str">
            <v>10</v>
          </cell>
          <cell r="AV971" t="str">
            <v>10</v>
          </cell>
          <cell r="AW971">
            <v>0</v>
          </cell>
          <cell r="AX971">
            <v>0</v>
          </cell>
          <cell r="AY971">
            <v>0</v>
          </cell>
          <cell r="AZ971">
            <v>0</v>
          </cell>
          <cell r="BA971">
            <v>0</v>
          </cell>
          <cell r="BD971" t="str">
            <v/>
          </cell>
          <cell r="BE971">
            <v>1</v>
          </cell>
          <cell r="BG971" t="str">
            <v>1100</v>
          </cell>
        </row>
        <row r="972">
          <cell r="B972" t="str">
            <v>G202010106100100</v>
          </cell>
          <cell r="C972" t="str">
            <v>20.長野県</v>
          </cell>
          <cell r="D972" t="str">
            <v>201</v>
          </cell>
          <cell r="E972" t="str">
            <v>長野市</v>
          </cell>
          <cell r="F972" t="str">
            <v>01</v>
          </cell>
          <cell r="G972" t="str">
            <v>公共 単独</v>
          </cell>
          <cell r="H972" t="str">
            <v>公共下水道</v>
          </cell>
          <cell r="I972" t="str">
            <v>単独</v>
          </cell>
          <cell r="J972" t="str">
            <v>001</v>
          </cell>
          <cell r="K972" t="str">
            <v>東部浄化センター</v>
          </cell>
          <cell r="M972" t="str">
            <v>1</v>
          </cell>
          <cell r="N972" t="str">
            <v>1</v>
          </cell>
          <cell r="Q972">
            <v>29799</v>
          </cell>
          <cell r="R972" t="str">
            <v>昭和</v>
          </cell>
          <cell r="S972">
            <v>56</v>
          </cell>
          <cell r="T972">
            <v>8</v>
          </cell>
          <cell r="AB972">
            <v>109473</v>
          </cell>
          <cell r="AC972" t="str">
            <v>千曲川</v>
          </cell>
          <cell r="AD972" t="str">
            <v>Ａ</v>
          </cell>
          <cell r="AE972" t="str">
            <v>ロ</v>
          </cell>
          <cell r="AF972">
            <v>15</v>
          </cell>
          <cell r="AK972" t="str">
            <v>千曲川</v>
          </cell>
          <cell r="AL972" t="str">
            <v>岩野水源</v>
          </cell>
          <cell r="AM972">
            <v>12.5</v>
          </cell>
          <cell r="AO972" t="str">
            <v>長野市</v>
          </cell>
          <cell r="AQ972" t="str">
            <v/>
          </cell>
          <cell r="AR972" t="str">
            <v>標準活性汚泥法</v>
          </cell>
          <cell r="AS972" t="str">
            <v>2020101001</v>
          </cell>
          <cell r="AT972" t="str">
            <v/>
          </cell>
          <cell r="AU972" t="str">
            <v>10</v>
          </cell>
          <cell r="AV972" t="str">
            <v>10</v>
          </cell>
          <cell r="AW972">
            <v>0</v>
          </cell>
          <cell r="AX972">
            <v>0</v>
          </cell>
          <cell r="AY972">
            <v>0</v>
          </cell>
          <cell r="AZ972">
            <v>0</v>
          </cell>
          <cell r="BA972">
            <v>0</v>
          </cell>
          <cell r="BD972" t="str">
            <v/>
          </cell>
          <cell r="BE972">
            <v>1</v>
          </cell>
          <cell r="BG972" t="str">
            <v>1100</v>
          </cell>
        </row>
        <row r="973">
          <cell r="B973" t="str">
            <v>G202010206100200</v>
          </cell>
          <cell r="C973" t="str">
            <v>20.長野県</v>
          </cell>
          <cell r="D973" t="str">
            <v>201</v>
          </cell>
          <cell r="E973" t="str">
            <v>長野市</v>
          </cell>
          <cell r="F973" t="str">
            <v>02</v>
          </cell>
          <cell r="G973" t="str">
            <v>特環 単独</v>
          </cell>
          <cell r="H973" t="str">
            <v>特定環境保全公共下水道</v>
          </cell>
          <cell r="I973" t="str">
            <v>単独</v>
          </cell>
          <cell r="J973" t="str">
            <v>002</v>
          </cell>
          <cell r="K973" t="str">
            <v>戸隠高原浄化センター</v>
          </cell>
          <cell r="M973" t="str">
            <v>1</v>
          </cell>
          <cell r="N973" t="str">
            <v>1</v>
          </cell>
          <cell r="Q973">
            <v>35125</v>
          </cell>
          <cell r="R973" t="str">
            <v>平成</v>
          </cell>
          <cell r="S973">
            <v>8</v>
          </cell>
          <cell r="T973">
            <v>3</v>
          </cell>
          <cell r="AB973">
            <v>12400</v>
          </cell>
          <cell r="AC973" t="str">
            <v>裾花川</v>
          </cell>
          <cell r="AD973" t="str">
            <v>Ａ</v>
          </cell>
          <cell r="AE973" t="str">
            <v>イ</v>
          </cell>
          <cell r="AF973">
            <v>15</v>
          </cell>
          <cell r="AI973" t="str">
            <v>仁王堂川</v>
          </cell>
          <cell r="AK973" t="str">
            <v>裾花川</v>
          </cell>
          <cell r="AL973" t="str">
            <v>湯の瀬ダム放流口</v>
          </cell>
          <cell r="AN973">
            <v>14</v>
          </cell>
          <cell r="AO973" t="str">
            <v>長野市上下水道局</v>
          </cell>
          <cell r="AQ973" t="str">
            <v/>
          </cell>
          <cell r="AR973" t="str">
            <v>オキシディションディッチ法</v>
          </cell>
          <cell r="AS973" t="str">
            <v>2020102002</v>
          </cell>
          <cell r="AT973" t="str">
            <v/>
          </cell>
          <cell r="AU973" t="str">
            <v>10</v>
          </cell>
          <cell r="AV973" t="str">
            <v>10</v>
          </cell>
          <cell r="AW973">
            <v>0</v>
          </cell>
          <cell r="AX973">
            <v>0</v>
          </cell>
          <cell r="AY973">
            <v>0</v>
          </cell>
          <cell r="AZ973">
            <v>0</v>
          </cell>
          <cell r="BA973">
            <v>0</v>
          </cell>
          <cell r="BD973" t="str">
            <v/>
          </cell>
          <cell r="BE973">
            <v>1</v>
          </cell>
          <cell r="BG973" t="str">
            <v>1100</v>
          </cell>
        </row>
        <row r="974">
          <cell r="B974" t="str">
            <v>G202010206100300</v>
          </cell>
          <cell r="C974" t="str">
            <v>20.長野県</v>
          </cell>
          <cell r="D974" t="str">
            <v>201</v>
          </cell>
          <cell r="E974" t="str">
            <v>長野市</v>
          </cell>
          <cell r="F974" t="str">
            <v>02</v>
          </cell>
          <cell r="G974" t="str">
            <v>特環 単独</v>
          </cell>
          <cell r="H974" t="str">
            <v>特定環境保全公共下水道</v>
          </cell>
          <cell r="I974" t="str">
            <v>単独</v>
          </cell>
          <cell r="J974" t="str">
            <v>003</v>
          </cell>
          <cell r="K974" t="str">
            <v>豊岡浄化センター</v>
          </cell>
          <cell r="M974" t="str">
            <v>1</v>
          </cell>
          <cell r="N974" t="str">
            <v>1</v>
          </cell>
          <cell r="Q974">
            <v>36220</v>
          </cell>
          <cell r="R974" t="str">
            <v>平成</v>
          </cell>
          <cell r="S974">
            <v>11</v>
          </cell>
          <cell r="T974">
            <v>3</v>
          </cell>
          <cell r="AB974">
            <v>3400</v>
          </cell>
          <cell r="AC974" t="str">
            <v>裾花川</v>
          </cell>
          <cell r="AD974" t="str">
            <v>Ａ</v>
          </cell>
          <cell r="AE974" t="str">
            <v>イ</v>
          </cell>
          <cell r="AF974">
            <v>15</v>
          </cell>
          <cell r="AI974" t="str">
            <v>楠川</v>
          </cell>
          <cell r="AK974" t="str">
            <v>裾花川</v>
          </cell>
          <cell r="AL974" t="str">
            <v>湯の瀬ダム放流口</v>
          </cell>
          <cell r="AN974">
            <v>8</v>
          </cell>
          <cell r="AO974" t="str">
            <v>長野市上下水道局</v>
          </cell>
          <cell r="AQ974" t="str">
            <v/>
          </cell>
          <cell r="AR974" t="str">
            <v>オキシディションディッチ法</v>
          </cell>
          <cell r="AS974" t="str">
            <v>2020102003</v>
          </cell>
          <cell r="AT974" t="str">
            <v/>
          </cell>
          <cell r="AU974" t="str">
            <v>10</v>
          </cell>
          <cell r="AV974" t="str">
            <v>10</v>
          </cell>
          <cell r="AW974">
            <v>0</v>
          </cell>
          <cell r="AX974">
            <v>0</v>
          </cell>
          <cell r="AY974">
            <v>0</v>
          </cell>
          <cell r="AZ974">
            <v>0</v>
          </cell>
          <cell r="BA974">
            <v>0</v>
          </cell>
          <cell r="BD974" t="str">
            <v/>
          </cell>
          <cell r="BE974">
            <v>1</v>
          </cell>
          <cell r="BG974" t="str">
            <v>1100</v>
          </cell>
        </row>
        <row r="975">
          <cell r="B975" t="str">
            <v>G202010206100400</v>
          </cell>
          <cell r="C975" t="str">
            <v>20.長野県</v>
          </cell>
          <cell r="D975" t="str">
            <v>201</v>
          </cell>
          <cell r="E975" t="str">
            <v>長野市</v>
          </cell>
          <cell r="F975" t="str">
            <v>02</v>
          </cell>
          <cell r="G975" t="str">
            <v>特環 単独</v>
          </cell>
          <cell r="H975" t="str">
            <v>特定環境保全公共下水道</v>
          </cell>
          <cell r="I975" t="str">
            <v>単独</v>
          </cell>
          <cell r="J975" t="str">
            <v>004</v>
          </cell>
          <cell r="K975" t="str">
            <v>鬼無里浄化センター</v>
          </cell>
          <cell r="M975" t="str">
            <v>1</v>
          </cell>
          <cell r="N975" t="str">
            <v>1</v>
          </cell>
          <cell r="Q975">
            <v>35855</v>
          </cell>
          <cell r="R975" t="str">
            <v>平成</v>
          </cell>
          <cell r="S975">
            <v>10</v>
          </cell>
          <cell r="T975">
            <v>3</v>
          </cell>
          <cell r="AB975">
            <v>2500</v>
          </cell>
          <cell r="AF975">
            <v>15</v>
          </cell>
          <cell r="AK975" t="str">
            <v>裾花川</v>
          </cell>
          <cell r="AL975" t="str">
            <v>湯の瀬ダム放流口</v>
          </cell>
          <cell r="AN975">
            <v>13</v>
          </cell>
          <cell r="AO975" t="str">
            <v>長野市上下水道局</v>
          </cell>
          <cell r="AQ975" t="str">
            <v/>
          </cell>
          <cell r="AR975" t="str">
            <v>オキシディションディッチ法</v>
          </cell>
          <cell r="AS975" t="str">
            <v>2020102004</v>
          </cell>
          <cell r="AT975" t="str">
            <v/>
          </cell>
          <cell r="AU975" t="str">
            <v>10</v>
          </cell>
          <cell r="AV975" t="str">
            <v>10</v>
          </cell>
          <cell r="AW975">
            <v>0</v>
          </cell>
          <cell r="AX975">
            <v>0</v>
          </cell>
          <cell r="AY975">
            <v>0</v>
          </cell>
          <cell r="AZ975">
            <v>0</v>
          </cell>
          <cell r="BA975">
            <v>0</v>
          </cell>
          <cell r="BD975" t="str">
            <v/>
          </cell>
          <cell r="BE975">
            <v>1</v>
          </cell>
          <cell r="BG975" t="str">
            <v>1100</v>
          </cell>
        </row>
        <row r="976">
          <cell r="B976" t="str">
            <v>G202010206100500</v>
          </cell>
          <cell r="C976" t="str">
            <v>20.長野県</v>
          </cell>
          <cell r="D976" t="str">
            <v>201</v>
          </cell>
          <cell r="E976" t="str">
            <v>長野市</v>
          </cell>
          <cell r="F976" t="str">
            <v>02</v>
          </cell>
          <cell r="G976" t="str">
            <v>特環 単独</v>
          </cell>
          <cell r="H976" t="str">
            <v>特定環境保全公共下水道</v>
          </cell>
          <cell r="I976" t="str">
            <v>単独</v>
          </cell>
          <cell r="J976" t="str">
            <v>005</v>
          </cell>
          <cell r="K976" t="str">
            <v>信州新町浄化センター</v>
          </cell>
          <cell r="M976" t="str">
            <v>1</v>
          </cell>
          <cell r="N976" t="str">
            <v>1</v>
          </cell>
          <cell r="Q976">
            <v>36251</v>
          </cell>
          <cell r="R976" t="str">
            <v>平成</v>
          </cell>
          <cell r="S976">
            <v>11</v>
          </cell>
          <cell r="T976">
            <v>4</v>
          </cell>
          <cell r="AB976">
            <v>6300</v>
          </cell>
          <cell r="AC976" t="str">
            <v>犀川</v>
          </cell>
          <cell r="AD976" t="str">
            <v>Ａ</v>
          </cell>
          <cell r="AE976" t="str">
            <v>ロ</v>
          </cell>
          <cell r="AF976">
            <v>15</v>
          </cell>
          <cell r="AI976" t="str">
            <v>北沢排水路</v>
          </cell>
          <cell r="AK976" t="str">
            <v>犀川</v>
          </cell>
          <cell r="AL976" t="str">
            <v>小田切ダム放流口</v>
          </cell>
          <cell r="AN976">
            <v>16.399999999999999</v>
          </cell>
          <cell r="AO976" t="str">
            <v>長野市上下水道局</v>
          </cell>
          <cell r="AQ976" t="str">
            <v/>
          </cell>
          <cell r="AR976" t="str">
            <v>オキシディションディッチ法</v>
          </cell>
          <cell r="AS976" t="str">
            <v>2020102005</v>
          </cell>
          <cell r="AT976" t="str">
            <v/>
          </cell>
          <cell r="AU976" t="str">
            <v>10</v>
          </cell>
          <cell r="AV976" t="str">
            <v>10</v>
          </cell>
          <cell r="AW976">
            <v>0</v>
          </cell>
          <cell r="AX976">
            <v>0</v>
          </cell>
          <cell r="AY976">
            <v>0</v>
          </cell>
          <cell r="AZ976">
            <v>0</v>
          </cell>
          <cell r="BA976">
            <v>0</v>
          </cell>
          <cell r="BD976" t="str">
            <v/>
          </cell>
          <cell r="BE976">
            <v>1</v>
          </cell>
          <cell r="BG976" t="str">
            <v>1100</v>
          </cell>
        </row>
        <row r="977">
          <cell r="B977" t="str">
            <v>G202010206100600</v>
          </cell>
          <cell r="C977" t="str">
            <v>20.長野県</v>
          </cell>
          <cell r="D977" t="str">
            <v>201</v>
          </cell>
          <cell r="E977" t="str">
            <v>長野市</v>
          </cell>
          <cell r="F977" t="str">
            <v>02</v>
          </cell>
          <cell r="G977" t="str">
            <v>特環 単独</v>
          </cell>
          <cell r="H977" t="str">
            <v>特定環境保全公共下水道</v>
          </cell>
          <cell r="I977" t="str">
            <v>単独</v>
          </cell>
          <cell r="J977" t="str">
            <v>006</v>
          </cell>
          <cell r="K977" t="str">
            <v>中条浄化センター</v>
          </cell>
          <cell r="M977" t="str">
            <v>1</v>
          </cell>
          <cell r="N977" t="str">
            <v>1</v>
          </cell>
          <cell r="Q977">
            <v>37500</v>
          </cell>
          <cell r="R977" t="str">
            <v>平成</v>
          </cell>
          <cell r="S977">
            <v>14</v>
          </cell>
          <cell r="T977">
            <v>9</v>
          </cell>
          <cell r="AB977">
            <v>3500</v>
          </cell>
          <cell r="AC977" t="str">
            <v>犀川</v>
          </cell>
          <cell r="AD977" t="str">
            <v>Ａ</v>
          </cell>
          <cell r="AE977" t="str">
            <v>ロ</v>
          </cell>
          <cell r="AF977">
            <v>15</v>
          </cell>
          <cell r="AK977" t="str">
            <v>土尻川</v>
          </cell>
          <cell r="AL977" t="str">
            <v>小田切ダム放流口</v>
          </cell>
          <cell r="AN977">
            <v>8.1</v>
          </cell>
          <cell r="AO977" t="str">
            <v>長野市上下水道局</v>
          </cell>
          <cell r="AQ977" t="str">
            <v/>
          </cell>
          <cell r="AR977" t="str">
            <v>オキシディションディッチ法</v>
          </cell>
          <cell r="AS977" t="str">
            <v>2020102006</v>
          </cell>
          <cell r="AT977" t="str">
            <v/>
          </cell>
          <cell r="AU977" t="str">
            <v>10</v>
          </cell>
          <cell r="AV977" t="str">
            <v>10</v>
          </cell>
          <cell r="AW977">
            <v>0</v>
          </cell>
          <cell r="AX977">
            <v>0</v>
          </cell>
          <cell r="AY977">
            <v>0</v>
          </cell>
          <cell r="AZ977">
            <v>0</v>
          </cell>
          <cell r="BA977">
            <v>0</v>
          </cell>
          <cell r="BD977" t="str">
            <v/>
          </cell>
          <cell r="BE977">
            <v>1</v>
          </cell>
          <cell r="BG977" t="str">
            <v>1100</v>
          </cell>
        </row>
        <row r="978">
          <cell r="B978" t="str">
            <v>G202020106100100</v>
          </cell>
          <cell r="C978" t="str">
            <v>20.長野県</v>
          </cell>
          <cell r="D978" t="str">
            <v>202</v>
          </cell>
          <cell r="E978" t="str">
            <v>松本市</v>
          </cell>
          <cell r="F978" t="str">
            <v>01</v>
          </cell>
          <cell r="G978" t="str">
            <v>公共 単独</v>
          </cell>
          <cell r="H978" t="str">
            <v>公共下水道</v>
          </cell>
          <cell r="I978" t="str">
            <v>単独</v>
          </cell>
          <cell r="J978" t="str">
            <v>001</v>
          </cell>
          <cell r="K978" t="str">
            <v>宮渕浄化センター</v>
          </cell>
          <cell r="M978" t="str">
            <v>1</v>
          </cell>
          <cell r="N978" t="str">
            <v>1</v>
          </cell>
          <cell r="Q978">
            <v>21763</v>
          </cell>
          <cell r="R978" t="str">
            <v>昭和</v>
          </cell>
          <cell r="S978">
            <v>34</v>
          </cell>
          <cell r="T978">
            <v>8</v>
          </cell>
          <cell r="AB978">
            <v>72900</v>
          </cell>
          <cell r="AC978" t="str">
            <v>奈良井川</v>
          </cell>
          <cell r="AD978" t="str">
            <v>Ａ</v>
          </cell>
          <cell r="AE978" t="str">
            <v>ロ</v>
          </cell>
          <cell r="AF978">
            <v>15</v>
          </cell>
          <cell r="AK978" t="str">
            <v>奈良井川</v>
          </cell>
          <cell r="AL978" t="str">
            <v>片平取水堰</v>
          </cell>
          <cell r="AM978">
            <v>24.2</v>
          </cell>
          <cell r="AO978" t="str">
            <v>松本市、塩尻市</v>
          </cell>
          <cell r="AQ978" t="str">
            <v/>
          </cell>
          <cell r="AR978" t="str">
            <v>標準活性汚泥法</v>
          </cell>
          <cell r="AS978" t="str">
            <v>2020201001</v>
          </cell>
          <cell r="AT978" t="str">
            <v/>
          </cell>
          <cell r="AU978" t="str">
            <v>10</v>
          </cell>
          <cell r="AV978" t="str">
            <v>10</v>
          </cell>
          <cell r="AW978">
            <v>0</v>
          </cell>
          <cell r="AX978">
            <v>0</v>
          </cell>
          <cell r="AY978">
            <v>0</v>
          </cell>
          <cell r="AZ978">
            <v>0</v>
          </cell>
          <cell r="BA978">
            <v>0</v>
          </cell>
          <cell r="BD978" t="str">
            <v/>
          </cell>
          <cell r="BE978">
            <v>1</v>
          </cell>
          <cell r="BG978" t="str">
            <v>1100</v>
          </cell>
        </row>
        <row r="979">
          <cell r="B979" t="str">
            <v>G202020106100200</v>
          </cell>
          <cell r="C979" t="str">
            <v>20.長野県</v>
          </cell>
          <cell r="D979" t="str">
            <v>202</v>
          </cell>
          <cell r="E979" t="str">
            <v>松本市</v>
          </cell>
          <cell r="F979" t="str">
            <v>01</v>
          </cell>
          <cell r="G979" t="str">
            <v>公共 単独</v>
          </cell>
          <cell r="H979" t="str">
            <v>公共下水道</v>
          </cell>
          <cell r="I979" t="str">
            <v>単独</v>
          </cell>
          <cell r="J979" t="str">
            <v>002</v>
          </cell>
          <cell r="K979" t="str">
            <v>両島浄化センター</v>
          </cell>
          <cell r="M979" t="str">
            <v>1</v>
          </cell>
          <cell r="N979" t="str">
            <v>1</v>
          </cell>
          <cell r="Q979">
            <v>32417</v>
          </cell>
          <cell r="R979" t="str">
            <v>昭和</v>
          </cell>
          <cell r="S979">
            <v>63</v>
          </cell>
          <cell r="T979">
            <v>10</v>
          </cell>
          <cell r="AB979">
            <v>60200</v>
          </cell>
          <cell r="AC979" t="str">
            <v>奈良井川</v>
          </cell>
          <cell r="AD979" t="str">
            <v>Ａ</v>
          </cell>
          <cell r="AE979" t="str">
            <v>ロ</v>
          </cell>
          <cell r="AF979">
            <v>15</v>
          </cell>
          <cell r="AK979" t="str">
            <v>奈良井川</v>
          </cell>
          <cell r="AL979" t="str">
            <v>片平取水堰</v>
          </cell>
          <cell r="AM979">
            <v>22</v>
          </cell>
          <cell r="AO979" t="str">
            <v>松本市、塩尻市</v>
          </cell>
          <cell r="AQ979" t="str">
            <v/>
          </cell>
          <cell r="AR979" t="str">
            <v>標準活性汚泥法</v>
          </cell>
          <cell r="AS979" t="str">
            <v>2020201002</v>
          </cell>
          <cell r="AT979" t="str">
            <v/>
          </cell>
          <cell r="AU979" t="str">
            <v>10</v>
          </cell>
          <cell r="AV979" t="str">
            <v>10</v>
          </cell>
          <cell r="AW979">
            <v>0</v>
          </cell>
          <cell r="AX979">
            <v>0</v>
          </cell>
          <cell r="AY979">
            <v>0</v>
          </cell>
          <cell r="AZ979">
            <v>0</v>
          </cell>
          <cell r="BA979">
            <v>0</v>
          </cell>
          <cell r="BD979" t="str">
            <v/>
          </cell>
          <cell r="BE979">
            <v>1</v>
          </cell>
          <cell r="BG979" t="str">
            <v>1100</v>
          </cell>
        </row>
        <row r="980">
          <cell r="B980" t="str">
            <v>G202020106100300</v>
          </cell>
          <cell r="C980" t="str">
            <v>20.長野県</v>
          </cell>
          <cell r="D980" t="str">
            <v>202</v>
          </cell>
          <cell r="E980" t="str">
            <v>松本市</v>
          </cell>
          <cell r="F980" t="str">
            <v>01</v>
          </cell>
          <cell r="G980" t="str">
            <v>公共 単独</v>
          </cell>
          <cell r="H980" t="str">
            <v>公共下水道</v>
          </cell>
          <cell r="I980" t="str">
            <v>単独</v>
          </cell>
          <cell r="J980" t="str">
            <v>003</v>
          </cell>
          <cell r="K980" t="str">
            <v>波田浄化センター</v>
          </cell>
          <cell r="M980" t="str">
            <v>1</v>
          </cell>
          <cell r="N980" t="str">
            <v>1</v>
          </cell>
          <cell r="Q980">
            <v>34394</v>
          </cell>
          <cell r="R980" t="str">
            <v>平成</v>
          </cell>
          <cell r="S980">
            <v>6</v>
          </cell>
          <cell r="T980">
            <v>3</v>
          </cell>
          <cell r="AB980">
            <v>24836</v>
          </cell>
          <cell r="AC980" t="str">
            <v>犀川</v>
          </cell>
          <cell r="AD980" t="str">
            <v>Ａ</v>
          </cell>
          <cell r="AE980" t="str">
            <v>イ</v>
          </cell>
          <cell r="AF980">
            <v>15</v>
          </cell>
          <cell r="AK980" t="str">
            <v>梓川</v>
          </cell>
          <cell r="AL980" t="str">
            <v>犀川浄水場</v>
          </cell>
          <cell r="AN980">
            <v>79</v>
          </cell>
          <cell r="AO980" t="str">
            <v>長野市</v>
          </cell>
          <cell r="AQ980" t="str">
            <v/>
          </cell>
          <cell r="AR980" t="str">
            <v>オキシディションディッチ法</v>
          </cell>
          <cell r="AS980" t="str">
            <v>2020201003</v>
          </cell>
          <cell r="AT980" t="str">
            <v/>
          </cell>
          <cell r="AU980" t="str">
            <v>10</v>
          </cell>
          <cell r="AV980" t="str">
            <v>10</v>
          </cell>
          <cell r="AW980">
            <v>0</v>
          </cell>
          <cell r="AX980">
            <v>0</v>
          </cell>
          <cell r="AY980">
            <v>0</v>
          </cell>
          <cell r="AZ980">
            <v>0</v>
          </cell>
          <cell r="BA980">
            <v>0</v>
          </cell>
          <cell r="BD980" t="str">
            <v/>
          </cell>
          <cell r="BE980">
            <v>1</v>
          </cell>
          <cell r="BG980" t="str">
            <v>1100</v>
          </cell>
        </row>
        <row r="981">
          <cell r="B981" t="str">
            <v>G202020206100400</v>
          </cell>
          <cell r="C981" t="str">
            <v>20.長野県</v>
          </cell>
          <cell r="D981" t="str">
            <v>202</v>
          </cell>
          <cell r="E981" t="str">
            <v>松本市</v>
          </cell>
          <cell r="F981" t="str">
            <v>02</v>
          </cell>
          <cell r="G981" t="str">
            <v>特環 単独</v>
          </cell>
          <cell r="H981" t="str">
            <v>特定環境保全公共下水道</v>
          </cell>
          <cell r="I981" t="str">
            <v>単独</v>
          </cell>
          <cell r="J981" t="str">
            <v>004</v>
          </cell>
          <cell r="K981" t="str">
            <v>上高地浄化センター</v>
          </cell>
          <cell r="M981" t="str">
            <v>1</v>
          </cell>
          <cell r="N981" t="str">
            <v>1</v>
          </cell>
          <cell r="Q981">
            <v>33756</v>
          </cell>
          <cell r="R981" t="str">
            <v>平成</v>
          </cell>
          <cell r="S981">
            <v>4</v>
          </cell>
          <cell r="T981">
            <v>6</v>
          </cell>
          <cell r="AB981">
            <v>2263</v>
          </cell>
          <cell r="AC981" t="str">
            <v>犀川（１）</v>
          </cell>
          <cell r="AD981" t="str">
            <v>ＡＡ</v>
          </cell>
          <cell r="AE981" t="str">
            <v>イ</v>
          </cell>
          <cell r="AF981">
            <v>15</v>
          </cell>
          <cell r="AK981" t="str">
            <v>梓川</v>
          </cell>
          <cell r="AQ981" t="str">
            <v/>
          </cell>
          <cell r="AR981" t="str">
            <v>回分式活性汚泥法</v>
          </cell>
          <cell r="AS981" t="str">
            <v>2020202004</v>
          </cell>
          <cell r="AT981" t="str">
            <v/>
          </cell>
          <cell r="AU981" t="str">
            <v>10</v>
          </cell>
          <cell r="AV981" t="str">
            <v>10</v>
          </cell>
          <cell r="AW981">
            <v>0</v>
          </cell>
          <cell r="AX981">
            <v>0</v>
          </cell>
          <cell r="AY981">
            <v>0</v>
          </cell>
          <cell r="AZ981">
            <v>0</v>
          </cell>
          <cell r="BA981">
            <v>0</v>
          </cell>
          <cell r="BD981" t="str">
            <v/>
          </cell>
          <cell r="BE981">
            <v>1</v>
          </cell>
          <cell r="BG981" t="str">
            <v>1100</v>
          </cell>
        </row>
        <row r="982">
          <cell r="B982" t="str">
            <v>G202020206100500</v>
          </cell>
          <cell r="C982" t="str">
            <v>20.長野県</v>
          </cell>
          <cell r="D982" t="str">
            <v>202</v>
          </cell>
          <cell r="E982" t="str">
            <v>松本市</v>
          </cell>
          <cell r="F982" t="str">
            <v>02</v>
          </cell>
          <cell r="G982" t="str">
            <v>特環 単独</v>
          </cell>
          <cell r="H982" t="str">
            <v>特定環境保全公共下水道</v>
          </cell>
          <cell r="I982" t="str">
            <v>単独</v>
          </cell>
          <cell r="J982" t="str">
            <v>005</v>
          </cell>
          <cell r="K982" t="str">
            <v>四賀浄化センター</v>
          </cell>
          <cell r="M982" t="str">
            <v>1</v>
          </cell>
          <cell r="N982" t="str">
            <v>1</v>
          </cell>
          <cell r="Q982">
            <v>36312</v>
          </cell>
          <cell r="R982" t="str">
            <v>平成</v>
          </cell>
          <cell r="S982">
            <v>11</v>
          </cell>
          <cell r="T982">
            <v>6</v>
          </cell>
          <cell r="AB982">
            <v>4700</v>
          </cell>
          <cell r="AC982" t="str">
            <v>犀川</v>
          </cell>
          <cell r="AD982" t="str">
            <v>Ａ</v>
          </cell>
          <cell r="AE982" t="str">
            <v>ロ</v>
          </cell>
          <cell r="AF982">
            <v>15</v>
          </cell>
          <cell r="AK982" t="str">
            <v>会田川</v>
          </cell>
          <cell r="AQ982" t="str">
            <v/>
          </cell>
          <cell r="AR982" t="str">
            <v>オキシディションディッチ法</v>
          </cell>
          <cell r="AS982" t="str">
            <v>2020202005</v>
          </cell>
          <cell r="AT982" t="str">
            <v/>
          </cell>
          <cell r="AU982" t="str">
            <v>10</v>
          </cell>
          <cell r="AV982" t="str">
            <v>10</v>
          </cell>
          <cell r="AW982">
            <v>0</v>
          </cell>
          <cell r="AX982">
            <v>0</v>
          </cell>
          <cell r="AY982">
            <v>0</v>
          </cell>
          <cell r="AZ982">
            <v>0</v>
          </cell>
          <cell r="BA982">
            <v>0</v>
          </cell>
          <cell r="BD982" t="str">
            <v/>
          </cell>
          <cell r="BE982">
            <v>1</v>
          </cell>
          <cell r="BG982" t="str">
            <v>1100</v>
          </cell>
        </row>
        <row r="983">
          <cell r="B983" t="str">
            <v>G202030106100100</v>
          </cell>
          <cell r="C983" t="str">
            <v>20.長野県</v>
          </cell>
          <cell r="D983" t="str">
            <v>203</v>
          </cell>
          <cell r="E983" t="str">
            <v>上田市</v>
          </cell>
          <cell r="F983" t="str">
            <v>01</v>
          </cell>
          <cell r="G983" t="str">
            <v>公共 単独</v>
          </cell>
          <cell r="H983" t="str">
            <v>公共下水道</v>
          </cell>
          <cell r="I983" t="str">
            <v>単独</v>
          </cell>
          <cell r="J983" t="str">
            <v>001</v>
          </cell>
          <cell r="K983" t="str">
            <v>上田終末処理場</v>
          </cell>
          <cell r="M983" t="str">
            <v>1</v>
          </cell>
          <cell r="N983" t="str">
            <v>1</v>
          </cell>
          <cell r="Q983">
            <v>26481</v>
          </cell>
          <cell r="R983" t="str">
            <v>昭和</v>
          </cell>
          <cell r="S983">
            <v>47</v>
          </cell>
          <cell r="T983">
            <v>7</v>
          </cell>
          <cell r="AB983">
            <v>53600</v>
          </cell>
          <cell r="AC983" t="str">
            <v>信濃川上流</v>
          </cell>
          <cell r="AD983" t="str">
            <v>Ａ</v>
          </cell>
          <cell r="AE983" t="str">
            <v>ロ</v>
          </cell>
          <cell r="AF983">
            <v>15</v>
          </cell>
          <cell r="AK983" t="str">
            <v>千曲川</v>
          </cell>
          <cell r="AM983">
            <v>3</v>
          </cell>
          <cell r="AO983" t="str">
            <v>上田市</v>
          </cell>
          <cell r="AQ983" t="str">
            <v/>
          </cell>
          <cell r="AR983" t="str">
            <v>標準活性汚泥法</v>
          </cell>
          <cell r="AS983" t="str">
            <v>2020301001</v>
          </cell>
          <cell r="AT983" t="str">
            <v/>
          </cell>
          <cell r="AU983" t="str">
            <v>10</v>
          </cell>
          <cell r="AV983" t="str">
            <v>10</v>
          </cell>
          <cell r="AW983">
            <v>0</v>
          </cell>
          <cell r="AX983">
            <v>0</v>
          </cell>
          <cell r="AY983">
            <v>0</v>
          </cell>
          <cell r="AZ983">
            <v>0</v>
          </cell>
          <cell r="BA983">
            <v>0</v>
          </cell>
          <cell r="BD983" t="str">
            <v/>
          </cell>
          <cell r="BE983">
            <v>1</v>
          </cell>
          <cell r="BG983" t="str">
            <v>1100</v>
          </cell>
        </row>
        <row r="984">
          <cell r="B984" t="str">
            <v>G202030106100200</v>
          </cell>
          <cell r="C984" t="str">
            <v>20.長野県</v>
          </cell>
          <cell r="D984" t="str">
            <v>203</v>
          </cell>
          <cell r="E984" t="str">
            <v>上田市</v>
          </cell>
          <cell r="F984" t="str">
            <v>01</v>
          </cell>
          <cell r="G984" t="str">
            <v>公共 単独</v>
          </cell>
          <cell r="H984" t="str">
            <v>公共下水道</v>
          </cell>
          <cell r="I984" t="str">
            <v>単独</v>
          </cell>
          <cell r="J984" t="str">
            <v>002</v>
          </cell>
          <cell r="K984" t="str">
            <v>丸子浄化センター</v>
          </cell>
          <cell r="M984" t="str">
            <v>1</v>
          </cell>
          <cell r="N984" t="str">
            <v>1</v>
          </cell>
          <cell r="Q984">
            <v>36246</v>
          </cell>
          <cell r="R984" t="str">
            <v>平成</v>
          </cell>
          <cell r="S984">
            <v>11</v>
          </cell>
          <cell r="T984">
            <v>3</v>
          </cell>
          <cell r="AB984">
            <v>29985</v>
          </cell>
          <cell r="AC984" t="str">
            <v>依田川</v>
          </cell>
          <cell r="AD984" t="str">
            <v>Ａ</v>
          </cell>
          <cell r="AE984" t="str">
            <v>イ</v>
          </cell>
          <cell r="AF984">
            <v>15</v>
          </cell>
          <cell r="AK984" t="str">
            <v>依田川</v>
          </cell>
          <cell r="AL984" t="str">
            <v>長野県企業局上田水道管理事務所</v>
          </cell>
          <cell r="AN984">
            <v>1.5</v>
          </cell>
          <cell r="AO984" t="str">
            <v>上田市ほか</v>
          </cell>
          <cell r="AQ984" t="str">
            <v/>
          </cell>
          <cell r="AR984" t="str">
            <v>オキシディションディッチ法</v>
          </cell>
          <cell r="AS984" t="str">
            <v>2020301002</v>
          </cell>
          <cell r="AT984" t="str">
            <v/>
          </cell>
          <cell r="AU984" t="str">
            <v>10</v>
          </cell>
          <cell r="AV984" t="str">
            <v>10</v>
          </cell>
          <cell r="AW984">
            <v>0</v>
          </cell>
          <cell r="AX984">
            <v>0</v>
          </cell>
          <cell r="AY984">
            <v>0</v>
          </cell>
          <cell r="AZ984">
            <v>0</v>
          </cell>
          <cell r="BA984">
            <v>0</v>
          </cell>
          <cell r="BD984" t="str">
            <v/>
          </cell>
          <cell r="BE984">
            <v>1</v>
          </cell>
          <cell r="BG984" t="str">
            <v>1100</v>
          </cell>
        </row>
        <row r="985">
          <cell r="B985" t="str">
            <v>G202030106100300</v>
          </cell>
          <cell r="C985" t="str">
            <v>20.長野県</v>
          </cell>
          <cell r="D985" t="str">
            <v>203</v>
          </cell>
          <cell r="E985" t="str">
            <v>上田市</v>
          </cell>
          <cell r="F985" t="str">
            <v>01</v>
          </cell>
          <cell r="G985" t="str">
            <v>公共 単独</v>
          </cell>
          <cell r="H985" t="str">
            <v>公共下水道</v>
          </cell>
          <cell r="I985" t="str">
            <v>単独</v>
          </cell>
          <cell r="J985" t="str">
            <v>003</v>
          </cell>
          <cell r="K985" t="str">
            <v>南部終末処理場</v>
          </cell>
          <cell r="M985" t="str">
            <v>1</v>
          </cell>
          <cell r="N985" t="str">
            <v>1</v>
          </cell>
          <cell r="Q985">
            <v>36495</v>
          </cell>
          <cell r="R985" t="str">
            <v>平成</v>
          </cell>
          <cell r="S985">
            <v>11</v>
          </cell>
          <cell r="T985">
            <v>12</v>
          </cell>
          <cell r="AB985">
            <v>40000</v>
          </cell>
          <cell r="AC985" t="str">
            <v>信濃川上流</v>
          </cell>
          <cell r="AD985" t="str">
            <v>Ａ</v>
          </cell>
          <cell r="AE985" t="str">
            <v>ロ</v>
          </cell>
          <cell r="AF985">
            <v>15</v>
          </cell>
          <cell r="AI985" t="str">
            <v>鯉座川</v>
          </cell>
          <cell r="AK985" t="str">
            <v>千曲川</v>
          </cell>
          <cell r="AM985">
            <v>6</v>
          </cell>
          <cell r="AO985" t="str">
            <v>上田市ほか</v>
          </cell>
          <cell r="AQ985" t="str">
            <v/>
          </cell>
          <cell r="AR985" t="str">
            <v>標準活性汚泥法</v>
          </cell>
          <cell r="AS985" t="str">
            <v>2020301003</v>
          </cell>
          <cell r="AT985" t="str">
            <v/>
          </cell>
          <cell r="AU985" t="str">
            <v>10</v>
          </cell>
          <cell r="AV985" t="str">
            <v>10</v>
          </cell>
          <cell r="AW985">
            <v>0</v>
          </cell>
          <cell r="AX985">
            <v>0</v>
          </cell>
          <cell r="AY985">
            <v>0</v>
          </cell>
          <cell r="AZ985">
            <v>0</v>
          </cell>
          <cell r="BA985">
            <v>0</v>
          </cell>
          <cell r="BD985" t="str">
            <v/>
          </cell>
          <cell r="BE985">
            <v>1</v>
          </cell>
          <cell r="BG985" t="str">
            <v>1100</v>
          </cell>
        </row>
        <row r="986">
          <cell r="B986" t="str">
            <v>G202030206100400</v>
          </cell>
          <cell r="C986" t="str">
            <v>20.長野県</v>
          </cell>
          <cell r="D986" t="str">
            <v>203</v>
          </cell>
          <cell r="E986" t="str">
            <v>上田市</v>
          </cell>
          <cell r="F986" t="str">
            <v>02</v>
          </cell>
          <cell r="G986" t="str">
            <v>特環 単独</v>
          </cell>
          <cell r="H986" t="str">
            <v>特定環境保全公共下水道</v>
          </cell>
          <cell r="I986" t="str">
            <v>単独</v>
          </cell>
          <cell r="J986" t="str">
            <v>004</v>
          </cell>
          <cell r="K986" t="str">
            <v>菅平浄化センター</v>
          </cell>
          <cell r="M986" t="str">
            <v>1</v>
          </cell>
          <cell r="N986" t="str">
            <v>1</v>
          </cell>
          <cell r="Q986">
            <v>31199</v>
          </cell>
          <cell r="R986" t="str">
            <v>昭和</v>
          </cell>
          <cell r="S986">
            <v>60</v>
          </cell>
          <cell r="T986">
            <v>6</v>
          </cell>
          <cell r="AB986">
            <v>22000</v>
          </cell>
          <cell r="AC986" t="str">
            <v>神川</v>
          </cell>
          <cell r="AD986" t="str">
            <v>Ａ</v>
          </cell>
          <cell r="AE986" t="str">
            <v>イ</v>
          </cell>
          <cell r="AF986">
            <v>15</v>
          </cell>
          <cell r="AK986" t="str">
            <v>神川</v>
          </cell>
          <cell r="AN986">
            <v>8</v>
          </cell>
          <cell r="AO986" t="str">
            <v>上田市ほか</v>
          </cell>
          <cell r="AQ986" t="str">
            <v/>
          </cell>
          <cell r="AR986" t="str">
            <v>オキシディションディッチ法</v>
          </cell>
          <cell r="AS986" t="str">
            <v>2020302004</v>
          </cell>
          <cell r="AT986" t="str">
            <v/>
          </cell>
          <cell r="AU986" t="str">
            <v>10</v>
          </cell>
          <cell r="AV986" t="str">
            <v>10</v>
          </cell>
          <cell r="AW986">
            <v>0</v>
          </cell>
          <cell r="AX986">
            <v>0</v>
          </cell>
          <cell r="AY986">
            <v>0</v>
          </cell>
          <cell r="AZ986">
            <v>0</v>
          </cell>
          <cell r="BA986">
            <v>0</v>
          </cell>
          <cell r="BD986" t="str">
            <v/>
          </cell>
          <cell r="BE986">
            <v>1</v>
          </cell>
          <cell r="BG986" t="str">
            <v>1100</v>
          </cell>
        </row>
        <row r="987">
          <cell r="B987" t="str">
            <v>G202030206100500</v>
          </cell>
          <cell r="C987" t="str">
            <v>20.長野県</v>
          </cell>
          <cell r="D987" t="str">
            <v>203</v>
          </cell>
          <cell r="E987" t="str">
            <v>上田市</v>
          </cell>
          <cell r="F987" t="str">
            <v>02</v>
          </cell>
          <cell r="G987" t="str">
            <v>特環 単独</v>
          </cell>
          <cell r="H987" t="str">
            <v>特定環境保全公共下水道</v>
          </cell>
          <cell r="I987" t="str">
            <v>単独</v>
          </cell>
          <cell r="J987" t="str">
            <v>005</v>
          </cell>
          <cell r="K987" t="str">
            <v>西内浄化センター</v>
          </cell>
          <cell r="M987" t="str">
            <v>1</v>
          </cell>
          <cell r="N987" t="str">
            <v>1</v>
          </cell>
          <cell r="Q987">
            <v>32112</v>
          </cell>
          <cell r="R987" t="str">
            <v>昭和</v>
          </cell>
          <cell r="S987">
            <v>62</v>
          </cell>
          <cell r="T987">
            <v>12</v>
          </cell>
          <cell r="AB987">
            <v>11670</v>
          </cell>
          <cell r="AC987" t="str">
            <v>依田川</v>
          </cell>
          <cell r="AD987" t="str">
            <v>Ａ</v>
          </cell>
          <cell r="AE987" t="str">
            <v>イ</v>
          </cell>
          <cell r="AF987">
            <v>15</v>
          </cell>
          <cell r="AI987" t="str">
            <v>内村川</v>
          </cell>
          <cell r="AK987" t="str">
            <v>依田川</v>
          </cell>
          <cell r="AL987" t="str">
            <v>内村ダム</v>
          </cell>
          <cell r="AM987">
            <v>5</v>
          </cell>
          <cell r="AO987" t="str">
            <v>上田市</v>
          </cell>
          <cell r="AQ987" t="str">
            <v/>
          </cell>
          <cell r="AR987" t="str">
            <v>オキシディションディッチ法</v>
          </cell>
          <cell r="AS987" t="str">
            <v>2020302005</v>
          </cell>
          <cell r="AT987" t="str">
            <v/>
          </cell>
          <cell r="AU987" t="str">
            <v>10</v>
          </cell>
          <cell r="AV987" t="str">
            <v>10</v>
          </cell>
          <cell r="AW987">
            <v>0</v>
          </cell>
          <cell r="AX987">
            <v>0</v>
          </cell>
          <cell r="AY987">
            <v>0</v>
          </cell>
          <cell r="AZ987">
            <v>0</v>
          </cell>
          <cell r="BA987">
            <v>0</v>
          </cell>
          <cell r="BD987" t="str">
            <v/>
          </cell>
          <cell r="BE987">
            <v>1</v>
          </cell>
          <cell r="BG987" t="str">
            <v>1100</v>
          </cell>
        </row>
        <row r="988">
          <cell r="B988" t="str">
            <v>G202030206100600</v>
          </cell>
          <cell r="C988" t="str">
            <v>20.長野県</v>
          </cell>
          <cell r="D988" t="str">
            <v>203</v>
          </cell>
          <cell r="E988" t="str">
            <v>上田市</v>
          </cell>
          <cell r="F988" t="str">
            <v>02</v>
          </cell>
          <cell r="G988" t="str">
            <v>特環 単独</v>
          </cell>
          <cell r="H988" t="str">
            <v>特定環境保全公共下水道</v>
          </cell>
          <cell r="I988" t="str">
            <v>単独</v>
          </cell>
          <cell r="J988" t="str">
            <v>006</v>
          </cell>
          <cell r="K988" t="str">
            <v>別所温泉終末処理場</v>
          </cell>
          <cell r="M988" t="str">
            <v>1</v>
          </cell>
          <cell r="N988" t="str">
            <v>1</v>
          </cell>
          <cell r="Q988">
            <v>35034</v>
          </cell>
          <cell r="R988" t="str">
            <v>平成</v>
          </cell>
          <cell r="S988">
            <v>7</v>
          </cell>
          <cell r="T988">
            <v>12</v>
          </cell>
          <cell r="AB988">
            <v>9940</v>
          </cell>
          <cell r="AC988" t="str">
            <v>浦野川</v>
          </cell>
          <cell r="AD988" t="str">
            <v>Ａ</v>
          </cell>
          <cell r="AE988" t="str">
            <v>ハ</v>
          </cell>
          <cell r="AF988">
            <v>15</v>
          </cell>
          <cell r="AI988" t="str">
            <v>湯川</v>
          </cell>
          <cell r="AN988">
            <v>20</v>
          </cell>
          <cell r="AO988" t="str">
            <v>上田市ほか</v>
          </cell>
          <cell r="AQ988" t="str">
            <v/>
          </cell>
          <cell r="AR988" t="str">
            <v>オキシディションディッチ法</v>
          </cell>
          <cell r="AS988" t="str">
            <v>2020302006</v>
          </cell>
          <cell r="AT988" t="str">
            <v/>
          </cell>
          <cell r="AU988" t="str">
            <v>10</v>
          </cell>
          <cell r="AV988" t="str">
            <v>10</v>
          </cell>
          <cell r="AW988">
            <v>0</v>
          </cell>
          <cell r="AX988">
            <v>0</v>
          </cell>
          <cell r="AY988">
            <v>0</v>
          </cell>
          <cell r="AZ988">
            <v>0</v>
          </cell>
          <cell r="BA988">
            <v>0</v>
          </cell>
          <cell r="BD988" t="str">
            <v/>
          </cell>
          <cell r="BE988">
            <v>1</v>
          </cell>
          <cell r="BG988" t="str">
            <v>1100</v>
          </cell>
        </row>
        <row r="989">
          <cell r="B989" t="str">
            <v>G202030206100700</v>
          </cell>
          <cell r="C989" t="str">
            <v>20.長野県</v>
          </cell>
          <cell r="D989" t="str">
            <v>203</v>
          </cell>
          <cell r="E989" t="str">
            <v>上田市</v>
          </cell>
          <cell r="F989" t="str">
            <v>02</v>
          </cell>
          <cell r="G989" t="str">
            <v>特環 単独</v>
          </cell>
          <cell r="H989" t="str">
            <v>特定環境保全公共下水道</v>
          </cell>
          <cell r="I989" t="str">
            <v>単独</v>
          </cell>
          <cell r="J989" t="str">
            <v>007</v>
          </cell>
          <cell r="K989" t="str">
            <v>真田浄化センター</v>
          </cell>
          <cell r="M989" t="str">
            <v>1</v>
          </cell>
          <cell r="N989" t="str">
            <v>1</v>
          </cell>
          <cell r="Q989">
            <v>35521</v>
          </cell>
          <cell r="R989" t="str">
            <v>平成</v>
          </cell>
          <cell r="S989">
            <v>9</v>
          </cell>
          <cell r="T989">
            <v>4</v>
          </cell>
          <cell r="AB989">
            <v>5827</v>
          </cell>
          <cell r="AC989" t="str">
            <v>神川</v>
          </cell>
          <cell r="AD989" t="str">
            <v>Ａ</v>
          </cell>
          <cell r="AE989" t="str">
            <v>イ</v>
          </cell>
          <cell r="AF989">
            <v>15</v>
          </cell>
          <cell r="AK989" t="str">
            <v>神川</v>
          </cell>
          <cell r="AN989">
            <v>2</v>
          </cell>
          <cell r="AO989" t="str">
            <v>上田市ほか</v>
          </cell>
          <cell r="AQ989" t="str">
            <v/>
          </cell>
          <cell r="AR989" t="str">
            <v>オキシディションディッチ法</v>
          </cell>
          <cell r="AS989" t="str">
            <v>2020302007</v>
          </cell>
          <cell r="AT989" t="str">
            <v/>
          </cell>
          <cell r="AU989" t="str">
            <v>10</v>
          </cell>
          <cell r="AV989" t="str">
            <v>10</v>
          </cell>
          <cell r="AW989">
            <v>0</v>
          </cell>
          <cell r="AX989">
            <v>0</v>
          </cell>
          <cell r="AY989">
            <v>0</v>
          </cell>
          <cell r="AZ989">
            <v>0</v>
          </cell>
          <cell r="BA989">
            <v>0</v>
          </cell>
          <cell r="BD989" t="str">
            <v/>
          </cell>
          <cell r="BE989">
            <v>1</v>
          </cell>
          <cell r="BG989" t="str">
            <v>1100</v>
          </cell>
        </row>
        <row r="990">
          <cell r="B990" t="str">
            <v>G202050106100100</v>
          </cell>
          <cell r="C990" t="str">
            <v>20.長野県</v>
          </cell>
          <cell r="D990" t="str">
            <v>205</v>
          </cell>
          <cell r="E990" t="str">
            <v>飯田市</v>
          </cell>
          <cell r="F990" t="str">
            <v>01</v>
          </cell>
          <cell r="G990" t="str">
            <v>公共 単独</v>
          </cell>
          <cell r="H990" t="str">
            <v>公共下水道</v>
          </cell>
          <cell r="I990" t="str">
            <v>単独</v>
          </cell>
          <cell r="J990" t="str">
            <v>001</v>
          </cell>
          <cell r="K990" t="str">
            <v>松尾浄化管理センター</v>
          </cell>
          <cell r="M990" t="str">
            <v>1</v>
          </cell>
          <cell r="N990" t="str">
            <v>1</v>
          </cell>
          <cell r="O990" t="str">
            <v>1</v>
          </cell>
          <cell r="Q990">
            <v>28216</v>
          </cell>
          <cell r="R990" t="str">
            <v>昭和</v>
          </cell>
          <cell r="S990">
            <v>52</v>
          </cell>
          <cell r="T990">
            <v>4</v>
          </cell>
          <cell r="AB990">
            <v>48955</v>
          </cell>
          <cell r="AC990" t="str">
            <v>天竜川</v>
          </cell>
          <cell r="AD990" t="str">
            <v>Ａ</v>
          </cell>
          <cell r="AE990" t="str">
            <v>イ</v>
          </cell>
          <cell r="AF990">
            <v>15</v>
          </cell>
          <cell r="AI990" t="str">
            <v>祝井沢川</v>
          </cell>
          <cell r="AK990" t="str">
            <v>天竜川</v>
          </cell>
          <cell r="AL990" t="str">
            <v>秋葉ダム</v>
          </cell>
          <cell r="AN990">
            <v>82.5</v>
          </cell>
          <cell r="AO990" t="str">
            <v>浜松市他</v>
          </cell>
          <cell r="AQ990" t="str">
            <v/>
          </cell>
          <cell r="AR990" t="str">
            <v>標準活性汚泥法</v>
          </cell>
          <cell r="AS990" t="str">
            <v>2020501001</v>
          </cell>
          <cell r="AT990" t="str">
            <v/>
          </cell>
          <cell r="AU990" t="str">
            <v>11</v>
          </cell>
          <cell r="AV990" t="str">
            <v>11</v>
          </cell>
          <cell r="AW990">
            <v>0</v>
          </cell>
          <cell r="AX990">
            <v>0</v>
          </cell>
          <cell r="AY990">
            <v>0</v>
          </cell>
          <cell r="AZ990">
            <v>0</v>
          </cell>
          <cell r="BA990">
            <v>0</v>
          </cell>
          <cell r="BD990" t="str">
            <v/>
          </cell>
          <cell r="BE990">
            <v>1</v>
          </cell>
          <cell r="BG990" t="str">
            <v>1110</v>
          </cell>
        </row>
        <row r="991">
          <cell r="B991" t="str">
            <v>G202050106100200</v>
          </cell>
          <cell r="C991" t="str">
            <v>20.長野県</v>
          </cell>
          <cell r="D991" t="str">
            <v>205</v>
          </cell>
          <cell r="E991" t="str">
            <v>飯田市</v>
          </cell>
          <cell r="F991" t="str">
            <v>01</v>
          </cell>
          <cell r="G991" t="str">
            <v>公共 単独</v>
          </cell>
          <cell r="H991" t="str">
            <v>公共下水道</v>
          </cell>
          <cell r="I991" t="str">
            <v>単独</v>
          </cell>
          <cell r="J991" t="str">
            <v>002</v>
          </cell>
          <cell r="K991" t="str">
            <v>川路浄化センター</v>
          </cell>
          <cell r="M991" t="str">
            <v>1</v>
          </cell>
          <cell r="N991" t="str">
            <v>1</v>
          </cell>
          <cell r="Q991">
            <v>38078</v>
          </cell>
          <cell r="R991" t="str">
            <v>平成</v>
          </cell>
          <cell r="S991">
            <v>16</v>
          </cell>
          <cell r="T991">
            <v>4</v>
          </cell>
          <cell r="AB991">
            <v>10000</v>
          </cell>
          <cell r="AC991" t="str">
            <v>天竜川</v>
          </cell>
          <cell r="AD991" t="str">
            <v>Ａ</v>
          </cell>
          <cell r="AE991" t="str">
            <v>イ</v>
          </cell>
          <cell r="AI991" t="str">
            <v>観音沢川</v>
          </cell>
          <cell r="AK991" t="str">
            <v>天竜川</v>
          </cell>
          <cell r="AL991" t="str">
            <v>秋葉ダム</v>
          </cell>
          <cell r="AN991">
            <v>77</v>
          </cell>
          <cell r="AO991" t="str">
            <v>浜松市他</v>
          </cell>
          <cell r="AQ991" t="str">
            <v/>
          </cell>
          <cell r="AR991" t="str">
            <v>オキシディションディッチ法</v>
          </cell>
          <cell r="AS991" t="str">
            <v>2020501002</v>
          </cell>
          <cell r="AT991" t="str">
            <v/>
          </cell>
          <cell r="AU991" t="str">
            <v>10</v>
          </cell>
          <cell r="AV991" t="str">
            <v>10</v>
          </cell>
          <cell r="AW991">
            <v>0</v>
          </cell>
          <cell r="AX991">
            <v>0</v>
          </cell>
          <cell r="AY991">
            <v>0</v>
          </cell>
          <cell r="AZ991">
            <v>0</v>
          </cell>
          <cell r="BA991">
            <v>0</v>
          </cell>
          <cell r="BD991" t="str">
            <v/>
          </cell>
          <cell r="BE991">
            <v>1</v>
          </cell>
          <cell r="BG991" t="str">
            <v>1100</v>
          </cell>
        </row>
        <row r="992">
          <cell r="B992" t="str">
            <v>G202050206100300</v>
          </cell>
          <cell r="C992" t="str">
            <v>20.長野県</v>
          </cell>
          <cell r="D992" t="str">
            <v>205</v>
          </cell>
          <cell r="E992" t="str">
            <v>飯田市</v>
          </cell>
          <cell r="F992" t="str">
            <v>02</v>
          </cell>
          <cell r="G992" t="str">
            <v>特環 単独</v>
          </cell>
          <cell r="H992" t="str">
            <v>特定環境保全公共下水道</v>
          </cell>
          <cell r="I992" t="str">
            <v>単独</v>
          </cell>
          <cell r="J992" t="str">
            <v>003</v>
          </cell>
          <cell r="K992" t="str">
            <v>和田浄化センター</v>
          </cell>
          <cell r="M992" t="str">
            <v>1</v>
          </cell>
          <cell r="N992" t="str">
            <v>1</v>
          </cell>
          <cell r="Q992">
            <v>38442</v>
          </cell>
          <cell r="R992" t="str">
            <v>平成</v>
          </cell>
          <cell r="S992">
            <v>17</v>
          </cell>
          <cell r="T992">
            <v>3</v>
          </cell>
          <cell r="AB992">
            <v>3933</v>
          </cell>
          <cell r="AC992" t="str">
            <v>天竜川</v>
          </cell>
          <cell r="AD992" t="str">
            <v>ＡＡ</v>
          </cell>
          <cell r="AE992" t="str">
            <v>イ</v>
          </cell>
          <cell r="AI992" t="str">
            <v>遠山川</v>
          </cell>
          <cell r="AK992" t="str">
            <v>天竜川</v>
          </cell>
          <cell r="AL992" t="str">
            <v>秋葉ダム</v>
          </cell>
          <cell r="AN992">
            <v>64</v>
          </cell>
          <cell r="AO992" t="str">
            <v>浜松市他</v>
          </cell>
          <cell r="AQ992" t="str">
            <v/>
          </cell>
          <cell r="AR992" t="str">
            <v>オキシディションディッチ法</v>
          </cell>
          <cell r="AS992" t="str">
            <v>2020502003</v>
          </cell>
          <cell r="AT992" t="str">
            <v/>
          </cell>
          <cell r="AU992" t="str">
            <v>10</v>
          </cell>
          <cell r="AV992" t="str">
            <v>10</v>
          </cell>
          <cell r="AW992">
            <v>0</v>
          </cell>
          <cell r="AX992">
            <v>0</v>
          </cell>
          <cell r="AY992">
            <v>0</v>
          </cell>
          <cell r="AZ992">
            <v>0</v>
          </cell>
          <cell r="BA992">
            <v>0</v>
          </cell>
          <cell r="BD992" t="str">
            <v/>
          </cell>
          <cell r="BE992">
            <v>1</v>
          </cell>
          <cell r="BG992" t="str">
            <v>1100</v>
          </cell>
        </row>
        <row r="993">
          <cell r="B993" t="str">
            <v>G202050206100400</v>
          </cell>
          <cell r="C993" t="str">
            <v>20.長野県</v>
          </cell>
          <cell r="D993" t="str">
            <v>205</v>
          </cell>
          <cell r="E993" t="str">
            <v>飯田市</v>
          </cell>
          <cell r="F993" t="str">
            <v>02</v>
          </cell>
          <cell r="G993" t="str">
            <v>特環 単独</v>
          </cell>
          <cell r="H993" t="str">
            <v>特定環境保全公共下水道</v>
          </cell>
          <cell r="I993" t="str">
            <v>単独</v>
          </cell>
          <cell r="J993" t="str">
            <v>004</v>
          </cell>
          <cell r="K993" t="str">
            <v>竜丘浄化センター</v>
          </cell>
          <cell r="M993" t="str">
            <v>1</v>
          </cell>
          <cell r="N993" t="str">
            <v>1</v>
          </cell>
          <cell r="Q993">
            <v>37971</v>
          </cell>
          <cell r="R993" t="str">
            <v>平成</v>
          </cell>
          <cell r="S993">
            <v>15</v>
          </cell>
          <cell r="T993">
            <v>12</v>
          </cell>
          <cell r="AB993">
            <v>10000</v>
          </cell>
          <cell r="AC993" t="str">
            <v>天竜川</v>
          </cell>
          <cell r="AD993" t="str">
            <v>Ａ</v>
          </cell>
          <cell r="AE993" t="str">
            <v>イ</v>
          </cell>
          <cell r="AI993" t="str">
            <v>臼井川</v>
          </cell>
          <cell r="AK993" t="str">
            <v>天竜川</v>
          </cell>
          <cell r="AL993" t="str">
            <v>秋葉ダム</v>
          </cell>
          <cell r="AN993">
            <v>79</v>
          </cell>
          <cell r="AO993" t="str">
            <v>浜松市他</v>
          </cell>
          <cell r="AQ993" t="str">
            <v/>
          </cell>
          <cell r="AR993" t="str">
            <v>オキシディションディッチ法</v>
          </cell>
          <cell r="AS993" t="str">
            <v>2020502004</v>
          </cell>
          <cell r="AT993" t="str">
            <v/>
          </cell>
          <cell r="AU993" t="str">
            <v>10</v>
          </cell>
          <cell r="AV993" t="str">
            <v>10</v>
          </cell>
          <cell r="AW993">
            <v>0</v>
          </cell>
          <cell r="AX993">
            <v>0</v>
          </cell>
          <cell r="AY993">
            <v>0</v>
          </cell>
          <cell r="AZ993">
            <v>0</v>
          </cell>
          <cell r="BA993">
            <v>0</v>
          </cell>
          <cell r="BD993" t="str">
            <v/>
          </cell>
          <cell r="BE993">
            <v>1</v>
          </cell>
          <cell r="BG993" t="str">
            <v>1100</v>
          </cell>
        </row>
        <row r="994">
          <cell r="B994" t="str">
            <v>G202080106100100</v>
          </cell>
          <cell r="C994" t="str">
            <v>20.長野県</v>
          </cell>
          <cell r="D994" t="str">
            <v>208</v>
          </cell>
          <cell r="E994" t="str">
            <v>小諸市</v>
          </cell>
          <cell r="F994" t="str">
            <v>01</v>
          </cell>
          <cell r="G994" t="str">
            <v>公共 単独</v>
          </cell>
          <cell r="H994" t="str">
            <v>公共下水道</v>
          </cell>
          <cell r="I994" t="str">
            <v>単独</v>
          </cell>
          <cell r="J994" t="str">
            <v>001</v>
          </cell>
          <cell r="K994" t="str">
            <v>小諸浄化管理センター</v>
          </cell>
          <cell r="M994" t="str">
            <v>1</v>
          </cell>
          <cell r="N994" t="str">
            <v>1</v>
          </cell>
          <cell r="Q994">
            <v>32958</v>
          </cell>
          <cell r="R994" t="str">
            <v>平成</v>
          </cell>
          <cell r="S994">
            <v>2</v>
          </cell>
          <cell r="T994">
            <v>3</v>
          </cell>
          <cell r="AB994">
            <v>34000</v>
          </cell>
          <cell r="AC994" t="str">
            <v>信濃川上流(2)</v>
          </cell>
          <cell r="AD994" t="str">
            <v>Ａ</v>
          </cell>
          <cell r="AE994" t="str">
            <v>イ</v>
          </cell>
          <cell r="AF994">
            <v>15</v>
          </cell>
          <cell r="AK994" t="str">
            <v>千曲川</v>
          </cell>
          <cell r="AL994" t="str">
            <v>上田農水頭首工</v>
          </cell>
          <cell r="AN994">
            <v>16</v>
          </cell>
          <cell r="AO994" t="str">
            <v>上田市、千曲市、坂城町</v>
          </cell>
          <cell r="AQ994" t="str">
            <v/>
          </cell>
          <cell r="AR994" t="str">
            <v>標準活性汚泥法</v>
          </cell>
          <cell r="AS994" t="str">
            <v>2020801001</v>
          </cell>
          <cell r="AT994" t="str">
            <v/>
          </cell>
          <cell r="AU994" t="str">
            <v>10</v>
          </cell>
          <cell r="AV994" t="str">
            <v>10</v>
          </cell>
          <cell r="AW994">
            <v>0</v>
          </cell>
          <cell r="AX994">
            <v>0</v>
          </cell>
          <cell r="AY994">
            <v>0</v>
          </cell>
          <cell r="AZ994">
            <v>0</v>
          </cell>
          <cell r="BA994">
            <v>0</v>
          </cell>
          <cell r="BD994" t="str">
            <v/>
          </cell>
          <cell r="BE994">
            <v>1</v>
          </cell>
          <cell r="BG994" t="str">
            <v>1100</v>
          </cell>
        </row>
        <row r="995">
          <cell r="B995" t="str">
            <v>G202080206100200</v>
          </cell>
          <cell r="C995" t="str">
            <v>20.長野県</v>
          </cell>
          <cell r="D995" t="str">
            <v>208</v>
          </cell>
          <cell r="E995" t="str">
            <v>小諸市</v>
          </cell>
          <cell r="F995" t="str">
            <v>02</v>
          </cell>
          <cell r="G995" t="str">
            <v>特環 単独</v>
          </cell>
          <cell r="H995" t="str">
            <v>特定環境保全公共下水道</v>
          </cell>
          <cell r="I995" t="str">
            <v>単独</v>
          </cell>
          <cell r="J995" t="str">
            <v>002</v>
          </cell>
          <cell r="K995" t="str">
            <v>和田浄化センター</v>
          </cell>
          <cell r="M995" t="str">
            <v>1</v>
          </cell>
          <cell r="N995" t="str">
            <v>1</v>
          </cell>
          <cell r="Q995">
            <v>37956</v>
          </cell>
          <cell r="R995" t="str">
            <v>平成</v>
          </cell>
          <cell r="S995">
            <v>15</v>
          </cell>
          <cell r="T995">
            <v>12</v>
          </cell>
          <cell r="AB995">
            <v>29000</v>
          </cell>
          <cell r="AC995" t="str">
            <v>信濃川上流(2)</v>
          </cell>
          <cell r="AD995" t="str">
            <v>Ａ</v>
          </cell>
          <cell r="AE995" t="str">
            <v>イ</v>
          </cell>
          <cell r="AF995">
            <v>15</v>
          </cell>
          <cell r="AI995" t="str">
            <v>湧玉川</v>
          </cell>
          <cell r="AK995" t="str">
            <v>千曲川</v>
          </cell>
          <cell r="AL995" t="str">
            <v>上田農水頭首口</v>
          </cell>
          <cell r="AN995">
            <v>30</v>
          </cell>
          <cell r="AO995" t="str">
            <v>上田市、千曲市、坂城町</v>
          </cell>
          <cell r="AQ995" t="str">
            <v/>
          </cell>
          <cell r="AR995" t="str">
            <v>オキシディションディッチ法</v>
          </cell>
          <cell r="AS995" t="str">
            <v>2020802002</v>
          </cell>
          <cell r="AT995" t="str">
            <v/>
          </cell>
          <cell r="AU995" t="str">
            <v>10</v>
          </cell>
          <cell r="AV995" t="str">
            <v>10</v>
          </cell>
          <cell r="AW995">
            <v>0</v>
          </cell>
          <cell r="AX995">
            <v>0</v>
          </cell>
          <cell r="AY995">
            <v>0</v>
          </cell>
          <cell r="AZ995">
            <v>0</v>
          </cell>
          <cell r="BA995">
            <v>0</v>
          </cell>
          <cell r="BD995" t="str">
            <v/>
          </cell>
          <cell r="BE995">
            <v>1</v>
          </cell>
          <cell r="BG995" t="str">
            <v>1100</v>
          </cell>
        </row>
        <row r="996">
          <cell r="B996" t="str">
            <v>G202090106100100</v>
          </cell>
          <cell r="C996" t="str">
            <v>20.長野県</v>
          </cell>
          <cell r="D996" t="str">
            <v>209</v>
          </cell>
          <cell r="E996" t="str">
            <v>伊那市</v>
          </cell>
          <cell r="F996" t="str">
            <v>01</v>
          </cell>
          <cell r="G996" t="str">
            <v>公共 単独</v>
          </cell>
          <cell r="H996" t="str">
            <v>公共下水道</v>
          </cell>
          <cell r="I996" t="str">
            <v>単独</v>
          </cell>
          <cell r="J996" t="str">
            <v>001</v>
          </cell>
          <cell r="K996" t="str">
            <v>伊那浄水管理センター</v>
          </cell>
          <cell r="M996" t="str">
            <v>1</v>
          </cell>
          <cell r="N996" t="str">
            <v>1</v>
          </cell>
          <cell r="Q996">
            <v>34053</v>
          </cell>
          <cell r="R996" t="str">
            <v>平成</v>
          </cell>
          <cell r="S996">
            <v>5</v>
          </cell>
          <cell r="T996">
            <v>3</v>
          </cell>
          <cell r="AB996">
            <v>32.515999999999998</v>
          </cell>
          <cell r="AC996" t="str">
            <v>天竜川</v>
          </cell>
          <cell r="AD996" t="str">
            <v>Ｂ</v>
          </cell>
          <cell r="AE996" t="str">
            <v>ロ</v>
          </cell>
          <cell r="AF996">
            <v>15</v>
          </cell>
          <cell r="AH996">
            <v>3</v>
          </cell>
          <cell r="AI996" t="str">
            <v>上新田雨水幹線</v>
          </cell>
          <cell r="AK996" t="str">
            <v>天竜川</v>
          </cell>
          <cell r="AQ996" t="str">
            <v/>
          </cell>
          <cell r="AR996" t="str">
            <v>標準活性汚泥法</v>
          </cell>
          <cell r="AS996" t="str">
            <v>2020901001</v>
          </cell>
          <cell r="AT996" t="str">
            <v/>
          </cell>
          <cell r="AU996" t="str">
            <v>10</v>
          </cell>
          <cell r="AV996" t="str">
            <v>10</v>
          </cell>
          <cell r="AW996">
            <v>0</v>
          </cell>
          <cell r="AX996">
            <v>0</v>
          </cell>
          <cell r="AY996">
            <v>0</v>
          </cell>
          <cell r="AZ996">
            <v>0</v>
          </cell>
          <cell r="BA996">
            <v>0</v>
          </cell>
          <cell r="BD996" t="str">
            <v/>
          </cell>
          <cell r="BE996">
            <v>1</v>
          </cell>
          <cell r="BG996" t="str">
            <v>1100</v>
          </cell>
        </row>
        <row r="997">
          <cell r="B997" t="str">
            <v>G202090106100200</v>
          </cell>
          <cell r="C997" t="str">
            <v>20.長野県</v>
          </cell>
          <cell r="D997" t="str">
            <v>209</v>
          </cell>
          <cell r="E997" t="str">
            <v>伊那市</v>
          </cell>
          <cell r="F997" t="str">
            <v>01</v>
          </cell>
          <cell r="G997" t="str">
            <v>公共 単独</v>
          </cell>
          <cell r="H997" t="str">
            <v>公共下水道</v>
          </cell>
          <cell r="I997" t="str">
            <v>単独</v>
          </cell>
          <cell r="J997" t="str">
            <v>002</v>
          </cell>
          <cell r="K997" t="str">
            <v>高遠浄化センター</v>
          </cell>
          <cell r="M997" t="str">
            <v>1</v>
          </cell>
          <cell r="N997" t="str">
            <v>1</v>
          </cell>
          <cell r="Q997">
            <v>34053</v>
          </cell>
          <cell r="R997" t="str">
            <v>平成</v>
          </cell>
          <cell r="S997">
            <v>5</v>
          </cell>
          <cell r="T997">
            <v>3</v>
          </cell>
          <cell r="AB997">
            <v>6200</v>
          </cell>
          <cell r="AC997" t="str">
            <v>天竜川</v>
          </cell>
          <cell r="AD997" t="str">
            <v>Ａ</v>
          </cell>
          <cell r="AE997" t="str">
            <v>ロ</v>
          </cell>
          <cell r="AF997">
            <v>15</v>
          </cell>
          <cell r="AH997">
            <v>3</v>
          </cell>
          <cell r="AI997" t="str">
            <v>蟹田沢</v>
          </cell>
          <cell r="AK997" t="str">
            <v>三峰川</v>
          </cell>
          <cell r="AQ997" t="str">
            <v/>
          </cell>
          <cell r="AR997" t="str">
            <v>オキシディションディッチ法</v>
          </cell>
          <cell r="AS997" t="str">
            <v>2020901002</v>
          </cell>
          <cell r="AT997" t="str">
            <v/>
          </cell>
          <cell r="AU997" t="str">
            <v>10</v>
          </cell>
          <cell r="AV997" t="str">
            <v>10</v>
          </cell>
          <cell r="AW997">
            <v>0</v>
          </cell>
          <cell r="AX997">
            <v>0</v>
          </cell>
          <cell r="AY997">
            <v>0</v>
          </cell>
          <cell r="AZ997">
            <v>0</v>
          </cell>
          <cell r="BA997">
            <v>0</v>
          </cell>
          <cell r="BD997" t="str">
            <v/>
          </cell>
          <cell r="BE997">
            <v>1</v>
          </cell>
          <cell r="BG997" t="str">
            <v>1100</v>
          </cell>
        </row>
        <row r="998">
          <cell r="B998" t="str">
            <v>G202090206100300</v>
          </cell>
          <cell r="C998" t="str">
            <v>20.長野県</v>
          </cell>
          <cell r="D998" t="str">
            <v>209</v>
          </cell>
          <cell r="E998" t="str">
            <v>伊那市</v>
          </cell>
          <cell r="F998" t="str">
            <v>02</v>
          </cell>
          <cell r="G998" t="str">
            <v>特環 単独</v>
          </cell>
          <cell r="H998" t="str">
            <v>特定環境保全公共下水道</v>
          </cell>
          <cell r="I998" t="str">
            <v>単独</v>
          </cell>
          <cell r="J998" t="str">
            <v>003</v>
          </cell>
          <cell r="K998" t="str">
            <v>小出島浄化センター</v>
          </cell>
          <cell r="M998" t="str">
            <v>1</v>
          </cell>
          <cell r="N998" t="str">
            <v>1</v>
          </cell>
          <cell r="Q998">
            <v>35515</v>
          </cell>
          <cell r="R998" t="str">
            <v>平成</v>
          </cell>
          <cell r="S998">
            <v>9</v>
          </cell>
          <cell r="T998">
            <v>3</v>
          </cell>
          <cell r="AB998">
            <v>5400</v>
          </cell>
          <cell r="AC998" t="str">
            <v>天竜川</v>
          </cell>
          <cell r="AD998" t="str">
            <v>Ａ</v>
          </cell>
          <cell r="AE998" t="str">
            <v>ロ</v>
          </cell>
          <cell r="AF998">
            <v>15</v>
          </cell>
          <cell r="AH998">
            <v>3</v>
          </cell>
          <cell r="AI998" t="str">
            <v>戸沢川</v>
          </cell>
          <cell r="AK998" t="str">
            <v>天竜川</v>
          </cell>
          <cell r="AQ998" t="str">
            <v/>
          </cell>
          <cell r="AR998" t="str">
            <v>オキシディションディッチ法</v>
          </cell>
          <cell r="AS998" t="str">
            <v>2020902003</v>
          </cell>
          <cell r="AT998" t="str">
            <v/>
          </cell>
          <cell r="AU998" t="str">
            <v>10</v>
          </cell>
          <cell r="AV998" t="str">
            <v>10</v>
          </cell>
          <cell r="AW998">
            <v>0</v>
          </cell>
          <cell r="AX998">
            <v>0</v>
          </cell>
          <cell r="AY998">
            <v>0</v>
          </cell>
          <cell r="AZ998">
            <v>0</v>
          </cell>
          <cell r="BA998">
            <v>0</v>
          </cell>
          <cell r="BD998" t="str">
            <v/>
          </cell>
          <cell r="BE998">
            <v>1</v>
          </cell>
          <cell r="BG998" t="str">
            <v>1100</v>
          </cell>
        </row>
        <row r="999">
          <cell r="B999" t="str">
            <v>G202090206100400</v>
          </cell>
          <cell r="C999" t="str">
            <v>20.長野県</v>
          </cell>
          <cell r="D999" t="str">
            <v>209</v>
          </cell>
          <cell r="E999" t="str">
            <v>伊那市</v>
          </cell>
          <cell r="F999" t="str">
            <v>02</v>
          </cell>
          <cell r="G999" t="str">
            <v>特環 単独</v>
          </cell>
          <cell r="H999" t="str">
            <v>特定環境保全公共下水道</v>
          </cell>
          <cell r="I999" t="str">
            <v>単独</v>
          </cell>
          <cell r="J999" t="str">
            <v>004</v>
          </cell>
          <cell r="K999" t="str">
            <v>大萱浄化センター</v>
          </cell>
          <cell r="M999" t="str">
            <v>1</v>
          </cell>
          <cell r="N999" t="str">
            <v>1</v>
          </cell>
          <cell r="Q999">
            <v>36977</v>
          </cell>
          <cell r="R999" t="str">
            <v>平成</v>
          </cell>
          <cell r="S999">
            <v>13</v>
          </cell>
          <cell r="T999">
            <v>3</v>
          </cell>
          <cell r="AB999">
            <v>11180</v>
          </cell>
          <cell r="AC999" t="str">
            <v>天竜川</v>
          </cell>
          <cell r="AD999" t="str">
            <v>Ｂ</v>
          </cell>
          <cell r="AE999" t="str">
            <v>ロ</v>
          </cell>
          <cell r="AF999">
            <v>15</v>
          </cell>
          <cell r="AH999">
            <v>3</v>
          </cell>
          <cell r="AI999" t="str">
            <v>伊那合同排水路</v>
          </cell>
          <cell r="AK999" t="str">
            <v>小沢川</v>
          </cell>
          <cell r="AQ999" t="str">
            <v/>
          </cell>
          <cell r="AR999" t="str">
            <v>オキシディションディッチ法</v>
          </cell>
          <cell r="AS999" t="str">
            <v>2020902004</v>
          </cell>
          <cell r="AT999" t="str">
            <v/>
          </cell>
          <cell r="AU999" t="str">
            <v>10</v>
          </cell>
          <cell r="AV999" t="str">
            <v>10</v>
          </cell>
          <cell r="AW999">
            <v>0</v>
          </cell>
          <cell r="AX999">
            <v>0</v>
          </cell>
          <cell r="AY999">
            <v>0</v>
          </cell>
          <cell r="AZ999">
            <v>0</v>
          </cell>
          <cell r="BA999">
            <v>0</v>
          </cell>
          <cell r="BD999" t="str">
            <v/>
          </cell>
          <cell r="BE999">
            <v>1</v>
          </cell>
          <cell r="BG999" t="str">
            <v>1100</v>
          </cell>
        </row>
        <row r="1000">
          <cell r="B1000" t="str">
            <v>G202090206100500</v>
          </cell>
          <cell r="C1000" t="str">
            <v>20.長野県</v>
          </cell>
          <cell r="D1000" t="str">
            <v>209</v>
          </cell>
          <cell r="E1000" t="str">
            <v>伊那市</v>
          </cell>
          <cell r="F1000" t="str">
            <v>02</v>
          </cell>
          <cell r="G1000" t="str">
            <v>特環 単独</v>
          </cell>
          <cell r="H1000" t="str">
            <v>特定環境保全公共下水道</v>
          </cell>
          <cell r="I1000" t="str">
            <v>単独</v>
          </cell>
          <cell r="J1000" t="str">
            <v>005</v>
          </cell>
          <cell r="K1000" t="str">
            <v>殿島浄化センター</v>
          </cell>
          <cell r="M1000" t="str">
            <v>1</v>
          </cell>
          <cell r="N1000" t="str">
            <v>1</v>
          </cell>
          <cell r="Q1000">
            <v>38072</v>
          </cell>
          <cell r="R1000" t="str">
            <v>平成</v>
          </cell>
          <cell r="S1000">
            <v>16</v>
          </cell>
          <cell r="T1000">
            <v>3</v>
          </cell>
          <cell r="AB1000">
            <v>11000</v>
          </cell>
          <cell r="AC1000" t="str">
            <v>天竜川</v>
          </cell>
          <cell r="AD1000" t="str">
            <v>Ａ</v>
          </cell>
          <cell r="AE1000" t="str">
            <v>ロ</v>
          </cell>
          <cell r="AF1000">
            <v>15</v>
          </cell>
          <cell r="AH1000">
            <v>3</v>
          </cell>
          <cell r="AI1000" t="str">
            <v>清水川</v>
          </cell>
          <cell r="AK1000" t="str">
            <v>大沢川</v>
          </cell>
          <cell r="AQ1000" t="str">
            <v/>
          </cell>
          <cell r="AR1000" t="str">
            <v>オキシディションディッチ法</v>
          </cell>
          <cell r="AS1000" t="str">
            <v>2020902005</v>
          </cell>
          <cell r="AT1000" t="str">
            <v/>
          </cell>
          <cell r="AU1000" t="str">
            <v>10</v>
          </cell>
          <cell r="AV1000" t="str">
            <v>10</v>
          </cell>
          <cell r="AW1000">
            <v>0</v>
          </cell>
          <cell r="AX1000">
            <v>0</v>
          </cell>
          <cell r="AY1000">
            <v>0</v>
          </cell>
          <cell r="AZ1000">
            <v>0</v>
          </cell>
          <cell r="BA1000">
            <v>0</v>
          </cell>
          <cell r="BD1000" t="str">
            <v/>
          </cell>
          <cell r="BE1000">
            <v>1</v>
          </cell>
          <cell r="BG1000" t="str">
            <v>1100</v>
          </cell>
        </row>
        <row r="1001">
          <cell r="B1001" t="str">
            <v>G202100106100100</v>
          </cell>
          <cell r="C1001" t="str">
            <v>20.長野県</v>
          </cell>
          <cell r="D1001" t="str">
            <v>210</v>
          </cell>
          <cell r="E1001" t="str">
            <v>駒ヶ根市</v>
          </cell>
          <cell r="F1001" t="str">
            <v>01</v>
          </cell>
          <cell r="G1001" t="str">
            <v>公共 単独</v>
          </cell>
          <cell r="H1001" t="str">
            <v>公共下水道</v>
          </cell>
          <cell r="I1001" t="str">
            <v>単独</v>
          </cell>
          <cell r="J1001" t="str">
            <v>001</v>
          </cell>
          <cell r="K1001" t="str">
            <v>駒ヶ根浄化センター</v>
          </cell>
          <cell r="M1001" t="str">
            <v>1</v>
          </cell>
          <cell r="N1001" t="str">
            <v>1</v>
          </cell>
          <cell r="Q1001">
            <v>35004</v>
          </cell>
          <cell r="R1001" t="str">
            <v>平成</v>
          </cell>
          <cell r="S1001">
            <v>7</v>
          </cell>
          <cell r="T1001">
            <v>11</v>
          </cell>
          <cell r="AB1001">
            <v>32910</v>
          </cell>
          <cell r="AC1001" t="str">
            <v>天竜川</v>
          </cell>
          <cell r="AD1001" t="str">
            <v>Ａ</v>
          </cell>
          <cell r="AE1001" t="str">
            <v>ロ</v>
          </cell>
          <cell r="AF1001">
            <v>15</v>
          </cell>
          <cell r="AK1001" t="str">
            <v>天竜川</v>
          </cell>
          <cell r="AL1001" t="str">
            <v>開田井</v>
          </cell>
          <cell r="AM1001">
            <v>7.6</v>
          </cell>
          <cell r="AO1001" t="str">
            <v>駒ヶ根市</v>
          </cell>
          <cell r="AQ1001" t="str">
            <v/>
          </cell>
          <cell r="AR1001" t="str">
            <v>標準活性汚泥法</v>
          </cell>
          <cell r="AS1001" t="str">
            <v>2021001001</v>
          </cell>
          <cell r="AT1001" t="str">
            <v/>
          </cell>
          <cell r="AU1001" t="str">
            <v>10</v>
          </cell>
          <cell r="AV1001" t="str">
            <v>10</v>
          </cell>
          <cell r="AW1001">
            <v>0</v>
          </cell>
          <cell r="AX1001">
            <v>0</v>
          </cell>
          <cell r="AY1001">
            <v>0</v>
          </cell>
          <cell r="AZ1001">
            <v>0</v>
          </cell>
          <cell r="BA1001">
            <v>0</v>
          </cell>
          <cell r="BD1001" t="str">
            <v/>
          </cell>
          <cell r="BE1001">
            <v>1</v>
          </cell>
          <cell r="BG1001" t="str">
            <v>1100</v>
          </cell>
        </row>
        <row r="1002">
          <cell r="B1002" t="str">
            <v>G202100306100200</v>
          </cell>
          <cell r="C1002" t="str">
            <v>20.長野県</v>
          </cell>
          <cell r="D1002" t="str">
            <v>210</v>
          </cell>
          <cell r="E1002" t="str">
            <v>駒ヶ根市</v>
          </cell>
          <cell r="F1002" t="str">
            <v>03</v>
          </cell>
          <cell r="G1002" t="str">
            <v>特定 単独</v>
          </cell>
          <cell r="H1002" t="str">
            <v>特定公共下水道</v>
          </cell>
          <cell r="I1002" t="str">
            <v>単独</v>
          </cell>
          <cell r="J1002" t="str">
            <v>002</v>
          </cell>
          <cell r="K1002" t="str">
            <v>飯坂処理場</v>
          </cell>
          <cell r="M1002" t="str">
            <v>1</v>
          </cell>
          <cell r="N1002" t="str">
            <v>1</v>
          </cell>
          <cell r="Q1002">
            <v>27211</v>
          </cell>
          <cell r="R1002" t="str">
            <v>昭和</v>
          </cell>
          <cell r="S1002">
            <v>49</v>
          </cell>
          <cell r="T1002">
            <v>7</v>
          </cell>
          <cell r="U1002" t="str">
            <v>廃止</v>
          </cell>
          <cell r="V1002">
            <v>41275</v>
          </cell>
          <cell r="W1002" t="str">
            <v>平成</v>
          </cell>
          <cell r="X1002">
            <v>25</v>
          </cell>
          <cell r="Y1002">
            <v>1</v>
          </cell>
          <cell r="AB1002">
            <v>1725</v>
          </cell>
          <cell r="AC1002" t="str">
            <v>天竜川</v>
          </cell>
          <cell r="AD1002" t="str">
            <v>Ａ</v>
          </cell>
          <cell r="AE1002" t="str">
            <v>ロ</v>
          </cell>
          <cell r="AF1002">
            <v>20</v>
          </cell>
          <cell r="AK1002" t="str">
            <v>天竜川</v>
          </cell>
          <cell r="AL1002" t="str">
            <v>開田井</v>
          </cell>
          <cell r="AM1002">
            <v>7</v>
          </cell>
          <cell r="AO1002" t="str">
            <v>駒ヶ根市</v>
          </cell>
          <cell r="AP1002" t="str">
            <v>H25.1.15より廃止</v>
          </cell>
          <cell r="AQ1002" t="str">
            <v>廃止</v>
          </cell>
          <cell r="AR1002" t="str">
            <v/>
          </cell>
          <cell r="AS1002" t="str">
            <v>2021003002</v>
          </cell>
          <cell r="AT1002" t="str">
            <v/>
          </cell>
          <cell r="AU1002" t="str">
            <v>10</v>
          </cell>
          <cell r="AV1002" t="str">
            <v>10</v>
          </cell>
          <cell r="AW1002">
            <v>0</v>
          </cell>
          <cell r="AX1002">
            <v>0</v>
          </cell>
          <cell r="AY1002">
            <v>0</v>
          </cell>
          <cell r="AZ1002">
            <v>0</v>
          </cell>
          <cell r="BA1002">
            <v>0</v>
          </cell>
          <cell r="BD1002" t="str">
            <v/>
          </cell>
          <cell r="BE1002">
            <v>0</v>
          </cell>
          <cell r="BG1002">
            <v>9999</v>
          </cell>
        </row>
        <row r="1003">
          <cell r="B1003" t="str">
            <v>G202110106100100</v>
          </cell>
          <cell r="C1003" t="str">
            <v>20.長野県</v>
          </cell>
          <cell r="D1003" t="str">
            <v>211</v>
          </cell>
          <cell r="E1003" t="str">
            <v>中野市</v>
          </cell>
          <cell r="F1003" t="str">
            <v>01</v>
          </cell>
          <cell r="G1003" t="str">
            <v>公共 単独</v>
          </cell>
          <cell r="H1003" t="str">
            <v>公共下水道</v>
          </cell>
          <cell r="I1003" t="str">
            <v>単独</v>
          </cell>
          <cell r="J1003" t="str">
            <v>001</v>
          </cell>
          <cell r="K1003" t="str">
            <v>中野浄化管理センター</v>
          </cell>
          <cell r="M1003" t="str">
            <v>1</v>
          </cell>
          <cell r="N1003" t="str">
            <v>1</v>
          </cell>
          <cell r="O1003" t="str">
            <v>1</v>
          </cell>
          <cell r="Q1003">
            <v>31352</v>
          </cell>
          <cell r="R1003" t="str">
            <v>昭和</v>
          </cell>
          <cell r="S1003">
            <v>60</v>
          </cell>
          <cell r="T1003">
            <v>11</v>
          </cell>
          <cell r="AB1003">
            <v>31600</v>
          </cell>
          <cell r="AC1003" t="str">
            <v>信濃川上流</v>
          </cell>
          <cell r="AD1003" t="str">
            <v>Ａ</v>
          </cell>
          <cell r="AE1003" t="str">
            <v>ロ</v>
          </cell>
          <cell r="AF1003">
            <v>15</v>
          </cell>
          <cell r="AK1003" t="str">
            <v>篠井川</v>
          </cell>
          <cell r="AL1003" t="str">
            <v>飯山市上水道取水口</v>
          </cell>
          <cell r="AN1003">
            <v>22</v>
          </cell>
          <cell r="AO1003" t="str">
            <v>飯山市</v>
          </cell>
          <cell r="AQ1003" t="str">
            <v/>
          </cell>
          <cell r="AR1003" t="str">
            <v>標準活性汚泥法</v>
          </cell>
          <cell r="AS1003" t="str">
            <v>2021101001</v>
          </cell>
          <cell r="AT1003" t="str">
            <v/>
          </cell>
          <cell r="AU1003" t="str">
            <v>11</v>
          </cell>
          <cell r="AV1003" t="str">
            <v>11</v>
          </cell>
          <cell r="AW1003">
            <v>0</v>
          </cell>
          <cell r="AX1003">
            <v>0</v>
          </cell>
          <cell r="AY1003">
            <v>0</v>
          </cell>
          <cell r="AZ1003">
            <v>0</v>
          </cell>
          <cell r="BA1003">
            <v>0</v>
          </cell>
          <cell r="BD1003" t="str">
            <v/>
          </cell>
          <cell r="BE1003">
            <v>1</v>
          </cell>
          <cell r="BG1003" t="str">
            <v>1110</v>
          </cell>
        </row>
        <row r="1004">
          <cell r="B1004" t="str">
            <v>G202110106100200</v>
          </cell>
          <cell r="C1004" t="str">
            <v>20.長野県</v>
          </cell>
          <cell r="D1004" t="str">
            <v>211</v>
          </cell>
          <cell r="E1004" t="str">
            <v>中野市</v>
          </cell>
          <cell r="F1004" t="str">
            <v>01</v>
          </cell>
          <cell r="G1004" t="str">
            <v>公共 単独</v>
          </cell>
          <cell r="H1004" t="str">
            <v>公共下水道</v>
          </cell>
          <cell r="I1004" t="str">
            <v>単独</v>
          </cell>
          <cell r="J1004" t="str">
            <v>002</v>
          </cell>
          <cell r="K1004" t="str">
            <v>長嶺浄化管理センター</v>
          </cell>
          <cell r="M1004" t="str">
            <v>1</v>
          </cell>
          <cell r="N1004" t="str">
            <v>1</v>
          </cell>
          <cell r="Q1004">
            <v>33573</v>
          </cell>
          <cell r="R1004" t="str">
            <v>平成</v>
          </cell>
          <cell r="S1004">
            <v>3</v>
          </cell>
          <cell r="T1004">
            <v>12</v>
          </cell>
          <cell r="AB1004">
            <v>1200</v>
          </cell>
          <cell r="AC1004" t="str">
            <v>信濃川上流</v>
          </cell>
          <cell r="AD1004" t="str">
            <v>Ａ</v>
          </cell>
          <cell r="AE1004" t="str">
            <v>ロ</v>
          </cell>
          <cell r="AF1004">
            <v>15</v>
          </cell>
          <cell r="AI1004" t="str">
            <v>廓清水川・袖川</v>
          </cell>
          <cell r="AK1004" t="str">
            <v>千曲川</v>
          </cell>
          <cell r="AN1004">
            <v>12</v>
          </cell>
          <cell r="AO1004" t="str">
            <v>飯山市</v>
          </cell>
          <cell r="AQ1004" t="str">
            <v/>
          </cell>
          <cell r="AR1004" t="str">
            <v>回分式活性汚泥法</v>
          </cell>
          <cell r="AS1004" t="str">
            <v>2021101002</v>
          </cell>
          <cell r="AT1004" t="str">
            <v/>
          </cell>
          <cell r="AU1004" t="str">
            <v>10</v>
          </cell>
          <cell r="AV1004" t="str">
            <v>10</v>
          </cell>
          <cell r="AW1004">
            <v>0</v>
          </cell>
          <cell r="AX1004">
            <v>0</v>
          </cell>
          <cell r="AY1004">
            <v>0</v>
          </cell>
          <cell r="AZ1004">
            <v>0</v>
          </cell>
          <cell r="BA1004">
            <v>0</v>
          </cell>
          <cell r="BD1004" t="str">
            <v/>
          </cell>
          <cell r="BE1004">
            <v>1</v>
          </cell>
          <cell r="BG1004" t="str">
            <v>1100</v>
          </cell>
        </row>
        <row r="1005">
          <cell r="B1005" t="str">
            <v>G202110206100300</v>
          </cell>
          <cell r="C1005" t="str">
            <v>20.長野県</v>
          </cell>
          <cell r="D1005" t="str">
            <v>211</v>
          </cell>
          <cell r="E1005" t="str">
            <v>中野市</v>
          </cell>
          <cell r="F1005" t="str">
            <v>02</v>
          </cell>
          <cell r="G1005" t="str">
            <v>特環 単独</v>
          </cell>
          <cell r="H1005" t="str">
            <v>特定環境保全公共下水道</v>
          </cell>
          <cell r="I1005" t="str">
            <v>単独</v>
          </cell>
          <cell r="J1005" t="str">
            <v>003</v>
          </cell>
          <cell r="K1005" t="str">
            <v>高丘浄化管理センター</v>
          </cell>
          <cell r="M1005" t="str">
            <v>1</v>
          </cell>
          <cell r="N1005" t="str">
            <v>1</v>
          </cell>
          <cell r="Q1005">
            <v>36586</v>
          </cell>
          <cell r="R1005" t="str">
            <v>平成</v>
          </cell>
          <cell r="S1005">
            <v>12</v>
          </cell>
          <cell r="T1005">
            <v>3</v>
          </cell>
          <cell r="AB1005">
            <v>8600</v>
          </cell>
          <cell r="AC1005" t="str">
            <v>信濃川上流</v>
          </cell>
          <cell r="AD1005" t="str">
            <v>Ａ</v>
          </cell>
          <cell r="AE1005" t="str">
            <v>ロ</v>
          </cell>
          <cell r="AF1005">
            <v>15</v>
          </cell>
          <cell r="AI1005" t="str">
            <v>清水川</v>
          </cell>
          <cell r="AK1005" t="str">
            <v>千曲川</v>
          </cell>
          <cell r="AL1005" t="str">
            <v>飯山市上水道取水口</v>
          </cell>
          <cell r="AN1005">
            <v>16.600000000000001</v>
          </cell>
          <cell r="AO1005" t="str">
            <v>飯山市</v>
          </cell>
          <cell r="AQ1005" t="str">
            <v/>
          </cell>
          <cell r="AR1005" t="str">
            <v>オキシディションディッチ法</v>
          </cell>
          <cell r="AS1005" t="str">
            <v>2021102003</v>
          </cell>
          <cell r="AT1005" t="str">
            <v/>
          </cell>
          <cell r="AU1005" t="str">
            <v>10</v>
          </cell>
          <cell r="AV1005" t="str">
            <v>10</v>
          </cell>
          <cell r="AW1005">
            <v>0</v>
          </cell>
          <cell r="AX1005">
            <v>0</v>
          </cell>
          <cell r="AY1005">
            <v>0</v>
          </cell>
          <cell r="AZ1005">
            <v>0</v>
          </cell>
          <cell r="BA1005">
            <v>0</v>
          </cell>
          <cell r="BD1005" t="str">
            <v/>
          </cell>
          <cell r="BE1005">
            <v>1</v>
          </cell>
          <cell r="BG1005" t="str">
            <v>1100</v>
          </cell>
        </row>
        <row r="1006">
          <cell r="B1006" t="str">
            <v>G202110206100400</v>
          </cell>
          <cell r="C1006" t="str">
            <v>20.長野県</v>
          </cell>
          <cell r="D1006" t="str">
            <v>211</v>
          </cell>
          <cell r="E1006" t="str">
            <v>中野市</v>
          </cell>
          <cell r="F1006" t="str">
            <v>02</v>
          </cell>
          <cell r="G1006" t="str">
            <v>特環 単独</v>
          </cell>
          <cell r="H1006" t="str">
            <v>特定環境保全公共下水道</v>
          </cell>
          <cell r="I1006" t="str">
            <v>単独</v>
          </cell>
          <cell r="J1006" t="str">
            <v>004</v>
          </cell>
          <cell r="K1006" t="str">
            <v>上今井浄化管理センター</v>
          </cell>
          <cell r="M1006" t="str">
            <v>1</v>
          </cell>
          <cell r="N1006" t="str">
            <v>1</v>
          </cell>
          <cell r="Q1006">
            <v>37681</v>
          </cell>
          <cell r="R1006" t="str">
            <v>平成</v>
          </cell>
          <cell r="S1006">
            <v>15</v>
          </cell>
          <cell r="T1006">
            <v>3</v>
          </cell>
          <cell r="AB1006">
            <v>3100</v>
          </cell>
          <cell r="AC1006" t="str">
            <v>信濃川上流</v>
          </cell>
          <cell r="AD1006" t="str">
            <v>Ａ</v>
          </cell>
          <cell r="AE1006" t="str">
            <v>ロ</v>
          </cell>
          <cell r="AF1006">
            <v>15</v>
          </cell>
          <cell r="AK1006" t="str">
            <v>本沢川</v>
          </cell>
          <cell r="AL1006" t="str">
            <v>飯山市上水道取水口</v>
          </cell>
          <cell r="AN1006">
            <v>17</v>
          </cell>
          <cell r="AO1006" t="str">
            <v>飯山市</v>
          </cell>
          <cell r="AQ1006" t="str">
            <v/>
          </cell>
          <cell r="AR1006" t="str">
            <v>オキシディションディッチ法</v>
          </cell>
          <cell r="AS1006" t="str">
            <v>2021102004</v>
          </cell>
          <cell r="AT1006" t="str">
            <v/>
          </cell>
          <cell r="AU1006" t="str">
            <v>10</v>
          </cell>
          <cell r="AV1006" t="str">
            <v>10</v>
          </cell>
          <cell r="AW1006">
            <v>0</v>
          </cell>
          <cell r="AX1006">
            <v>0</v>
          </cell>
          <cell r="AY1006">
            <v>0</v>
          </cell>
          <cell r="AZ1006">
            <v>0</v>
          </cell>
          <cell r="BA1006">
            <v>0</v>
          </cell>
          <cell r="BD1006" t="str">
            <v/>
          </cell>
          <cell r="BE1006">
            <v>1</v>
          </cell>
          <cell r="BG1006" t="str">
            <v>1100</v>
          </cell>
        </row>
        <row r="1007">
          <cell r="B1007" t="str">
            <v>G202120106100100</v>
          </cell>
          <cell r="C1007" t="str">
            <v>20.長野県</v>
          </cell>
          <cell r="D1007" t="str">
            <v>212</v>
          </cell>
          <cell r="E1007" t="str">
            <v>大町市</v>
          </cell>
          <cell r="F1007" t="str">
            <v>01</v>
          </cell>
          <cell r="G1007" t="str">
            <v>公共 単独</v>
          </cell>
          <cell r="H1007" t="str">
            <v>公共下水道</v>
          </cell>
          <cell r="I1007" t="str">
            <v>単独</v>
          </cell>
          <cell r="J1007" t="str">
            <v>001</v>
          </cell>
          <cell r="K1007" t="str">
            <v>大町浄水センター</v>
          </cell>
          <cell r="M1007" t="str">
            <v>1</v>
          </cell>
          <cell r="N1007" t="str">
            <v>1</v>
          </cell>
          <cell r="Q1007">
            <v>35520</v>
          </cell>
          <cell r="R1007" t="str">
            <v>平成</v>
          </cell>
          <cell r="S1007">
            <v>9</v>
          </cell>
          <cell r="T1007">
            <v>3</v>
          </cell>
          <cell r="AB1007">
            <v>28000</v>
          </cell>
          <cell r="AC1007" t="str">
            <v>農具川</v>
          </cell>
          <cell r="AD1007" t="str">
            <v>Ａ</v>
          </cell>
          <cell r="AE1007" t="str">
            <v>イ</v>
          </cell>
          <cell r="AF1007">
            <v>15</v>
          </cell>
          <cell r="AK1007" t="str">
            <v>一級河川農具川</v>
          </cell>
          <cell r="AP1007" t="str">
            <v>特環公共関連分含む</v>
          </cell>
          <cell r="AQ1007" t="str">
            <v/>
          </cell>
          <cell r="AR1007" t="str">
            <v>酸素活性汚泥法</v>
          </cell>
          <cell r="AS1007" t="str">
            <v>2021201001</v>
          </cell>
          <cell r="AT1007" t="str">
            <v/>
          </cell>
          <cell r="AU1007" t="str">
            <v>10</v>
          </cell>
          <cell r="AV1007" t="str">
            <v>10</v>
          </cell>
          <cell r="AW1007">
            <v>0</v>
          </cell>
          <cell r="AX1007">
            <v>0</v>
          </cell>
          <cell r="AY1007">
            <v>0</v>
          </cell>
          <cell r="AZ1007">
            <v>0</v>
          </cell>
          <cell r="BA1007">
            <v>0</v>
          </cell>
          <cell r="BD1007" t="str">
            <v/>
          </cell>
          <cell r="BE1007">
            <v>1</v>
          </cell>
          <cell r="BG1007" t="str">
            <v>1100</v>
          </cell>
        </row>
        <row r="1008">
          <cell r="B1008" t="str">
            <v>G202130106100100</v>
          </cell>
          <cell r="C1008" t="str">
            <v>20.長野県</v>
          </cell>
          <cell r="D1008" t="str">
            <v>213</v>
          </cell>
          <cell r="E1008" t="str">
            <v>飯山市</v>
          </cell>
          <cell r="F1008" t="str">
            <v>01</v>
          </cell>
          <cell r="G1008" t="str">
            <v>公共 単独</v>
          </cell>
          <cell r="H1008" t="str">
            <v>公共下水道</v>
          </cell>
          <cell r="I1008" t="str">
            <v>単独</v>
          </cell>
          <cell r="J1008" t="str">
            <v>001</v>
          </cell>
          <cell r="K1008" t="str">
            <v>飯山終末処理場</v>
          </cell>
          <cell r="M1008" t="str">
            <v>1</v>
          </cell>
          <cell r="N1008" t="str">
            <v>1</v>
          </cell>
          <cell r="P1008" t="str">
            <v>1</v>
          </cell>
          <cell r="Q1008">
            <v>35490</v>
          </cell>
          <cell r="R1008" t="str">
            <v>平成</v>
          </cell>
          <cell r="S1008">
            <v>9</v>
          </cell>
          <cell r="T1008">
            <v>3</v>
          </cell>
          <cell r="AB1008">
            <v>28600</v>
          </cell>
          <cell r="AC1008" t="str">
            <v>信濃川上流(3)</v>
          </cell>
          <cell r="AD1008" t="str">
            <v>Ａ</v>
          </cell>
          <cell r="AE1008" t="str">
            <v>ロ</v>
          </cell>
          <cell r="AF1008">
            <v>15</v>
          </cell>
          <cell r="AI1008" t="str">
            <v>御立野川</v>
          </cell>
          <cell r="AK1008" t="str">
            <v>千曲川</v>
          </cell>
          <cell r="AL1008" t="str">
            <v>小千谷市浄水場取水口</v>
          </cell>
          <cell r="AN1008">
            <v>70</v>
          </cell>
          <cell r="AO1008" t="str">
            <v>小千谷市</v>
          </cell>
          <cell r="AQ1008" t="str">
            <v/>
          </cell>
          <cell r="AR1008" t="str">
            <v>オキシディションディッチ法</v>
          </cell>
          <cell r="AS1008" t="str">
            <v>2021301001</v>
          </cell>
          <cell r="AT1008" t="str">
            <v/>
          </cell>
          <cell r="AU1008" t="str">
            <v>10</v>
          </cell>
          <cell r="AV1008" t="str">
            <v>10</v>
          </cell>
          <cell r="AW1008">
            <v>1</v>
          </cell>
          <cell r="AX1008">
            <v>0</v>
          </cell>
          <cell r="AY1008">
            <v>0</v>
          </cell>
          <cell r="AZ1008">
            <v>0</v>
          </cell>
          <cell r="BA1008">
            <v>0</v>
          </cell>
          <cell r="BD1008" t="str">
            <v/>
          </cell>
          <cell r="BE1008">
            <v>1</v>
          </cell>
          <cell r="BG1008" t="str">
            <v>1101</v>
          </cell>
        </row>
        <row r="1009">
          <cell r="B1009" t="str">
            <v>G202130106100200</v>
          </cell>
          <cell r="C1009" t="str">
            <v>20.長野県</v>
          </cell>
          <cell r="D1009" t="str">
            <v>213</v>
          </cell>
          <cell r="E1009" t="str">
            <v>飯山市</v>
          </cell>
          <cell r="F1009" t="str">
            <v>01</v>
          </cell>
          <cell r="G1009" t="str">
            <v>公共 単独</v>
          </cell>
          <cell r="H1009" t="str">
            <v>公共下水道</v>
          </cell>
          <cell r="I1009" t="str">
            <v>単独</v>
          </cell>
          <cell r="J1009" t="str">
            <v>002</v>
          </cell>
          <cell r="K1009" t="str">
            <v>木島終末処理場</v>
          </cell>
          <cell r="M1009" t="str">
            <v>1</v>
          </cell>
          <cell r="N1009" t="str">
            <v>1</v>
          </cell>
          <cell r="Q1009">
            <v>36220</v>
          </cell>
          <cell r="R1009" t="str">
            <v>平成</v>
          </cell>
          <cell r="S1009">
            <v>11</v>
          </cell>
          <cell r="T1009">
            <v>3</v>
          </cell>
          <cell r="AB1009">
            <v>6039</v>
          </cell>
          <cell r="AC1009" t="str">
            <v>信濃川(3)</v>
          </cell>
          <cell r="AD1009" t="str">
            <v>Ａ</v>
          </cell>
          <cell r="AE1009" t="str">
            <v>ロ</v>
          </cell>
          <cell r="AF1009">
            <v>15</v>
          </cell>
          <cell r="AI1009" t="str">
            <v>古川4号排水路</v>
          </cell>
          <cell r="AK1009" t="str">
            <v>千曲川</v>
          </cell>
          <cell r="AL1009" t="str">
            <v>小千谷市浄水場</v>
          </cell>
          <cell r="AN1009">
            <v>70</v>
          </cell>
          <cell r="AO1009" t="str">
            <v>小千谷市</v>
          </cell>
          <cell r="AQ1009" t="str">
            <v/>
          </cell>
          <cell r="AR1009" t="str">
            <v>オキシディションディッチ法</v>
          </cell>
          <cell r="AS1009" t="str">
            <v>2021301002</v>
          </cell>
          <cell r="AT1009" t="str">
            <v/>
          </cell>
          <cell r="AU1009" t="str">
            <v>10</v>
          </cell>
          <cell r="AV1009" t="str">
            <v>10</v>
          </cell>
          <cell r="AW1009">
            <v>0</v>
          </cell>
          <cell r="AX1009">
            <v>0</v>
          </cell>
          <cell r="AY1009">
            <v>0</v>
          </cell>
          <cell r="AZ1009">
            <v>0</v>
          </cell>
          <cell r="BA1009">
            <v>0</v>
          </cell>
          <cell r="BD1009" t="str">
            <v/>
          </cell>
          <cell r="BE1009">
            <v>1</v>
          </cell>
          <cell r="BG1009" t="str">
            <v>1100</v>
          </cell>
        </row>
        <row r="1010">
          <cell r="B1010" t="str">
            <v>G202130206100300</v>
          </cell>
          <cell r="C1010" t="str">
            <v>20.長野県</v>
          </cell>
          <cell r="D1010" t="str">
            <v>213</v>
          </cell>
          <cell r="E1010" t="str">
            <v>飯山市</v>
          </cell>
          <cell r="F1010" t="str">
            <v>02</v>
          </cell>
          <cell r="G1010" t="str">
            <v>特環 単独</v>
          </cell>
          <cell r="H1010" t="str">
            <v>特定環境保全公共下水道</v>
          </cell>
          <cell r="I1010" t="str">
            <v>単独</v>
          </cell>
          <cell r="J1010" t="str">
            <v>003</v>
          </cell>
          <cell r="K1010" t="str">
            <v>戸狩終末処理場</v>
          </cell>
          <cell r="M1010" t="str">
            <v>1</v>
          </cell>
          <cell r="N1010" t="str">
            <v>1</v>
          </cell>
          <cell r="P1010" t="str">
            <v>1</v>
          </cell>
          <cell r="Q1010">
            <v>33512</v>
          </cell>
          <cell r="R1010" t="str">
            <v>平成</v>
          </cell>
          <cell r="S1010">
            <v>3</v>
          </cell>
          <cell r="T1010">
            <v>10</v>
          </cell>
          <cell r="AB1010">
            <v>19000</v>
          </cell>
          <cell r="AC1010" t="str">
            <v>信濃川上流(3)</v>
          </cell>
          <cell r="AD1010" t="str">
            <v>Ａ</v>
          </cell>
          <cell r="AE1010" t="str">
            <v>ロ</v>
          </cell>
          <cell r="AF1010">
            <v>15</v>
          </cell>
          <cell r="AI1010" t="str">
            <v>広井川</v>
          </cell>
          <cell r="AK1010" t="str">
            <v>千曲川</v>
          </cell>
          <cell r="AL1010" t="str">
            <v>小千谷市浄水場</v>
          </cell>
          <cell r="AO1010" t="str">
            <v>小千谷市</v>
          </cell>
          <cell r="AQ1010" t="str">
            <v/>
          </cell>
          <cell r="AR1010" t="str">
            <v>オキシディションディッチ法</v>
          </cell>
          <cell r="AS1010" t="str">
            <v>2021302003</v>
          </cell>
          <cell r="AT1010" t="str">
            <v/>
          </cell>
          <cell r="AU1010" t="str">
            <v>10</v>
          </cell>
          <cell r="AV1010" t="str">
            <v>10</v>
          </cell>
          <cell r="AW1010">
            <v>1</v>
          </cell>
          <cell r="AX1010">
            <v>0</v>
          </cell>
          <cell r="AY1010">
            <v>0</v>
          </cell>
          <cell r="AZ1010">
            <v>0</v>
          </cell>
          <cell r="BA1010">
            <v>0</v>
          </cell>
          <cell r="BD1010" t="str">
            <v/>
          </cell>
          <cell r="BE1010">
            <v>1</v>
          </cell>
          <cell r="BG1010" t="str">
            <v>1101</v>
          </cell>
        </row>
        <row r="1011">
          <cell r="B1011" t="str">
            <v>G202130206100400</v>
          </cell>
          <cell r="C1011" t="str">
            <v>20.長野県</v>
          </cell>
          <cell r="D1011" t="str">
            <v>213</v>
          </cell>
          <cell r="E1011" t="str">
            <v>飯山市</v>
          </cell>
          <cell r="F1011" t="str">
            <v>02</v>
          </cell>
          <cell r="G1011" t="str">
            <v>特環 単独</v>
          </cell>
          <cell r="H1011" t="str">
            <v>特定環境保全公共下水道</v>
          </cell>
          <cell r="I1011" t="str">
            <v>単独</v>
          </cell>
          <cell r="J1011" t="str">
            <v>004</v>
          </cell>
          <cell r="K1011" t="str">
            <v>斑尾終末処理場</v>
          </cell>
          <cell r="M1011" t="str">
            <v>1</v>
          </cell>
          <cell r="Q1011">
            <v>37530</v>
          </cell>
          <cell r="R1011" t="str">
            <v>平成</v>
          </cell>
          <cell r="S1011">
            <v>14</v>
          </cell>
          <cell r="T1011">
            <v>10</v>
          </cell>
          <cell r="AB1011">
            <v>13616</v>
          </cell>
          <cell r="AC1011" t="str">
            <v>関川中流</v>
          </cell>
          <cell r="AD1011" t="str">
            <v>Ａ</v>
          </cell>
          <cell r="AE1011" t="str">
            <v>イ</v>
          </cell>
          <cell r="AF1011">
            <v>15</v>
          </cell>
          <cell r="AI1011" t="str">
            <v>土路川</v>
          </cell>
          <cell r="AK1011" t="str">
            <v>関川</v>
          </cell>
          <cell r="AQ1011" t="str">
            <v/>
          </cell>
          <cell r="AR1011" t="str">
            <v>オキシディションディッチ法</v>
          </cell>
          <cell r="AS1011" t="str">
            <v>2021302004</v>
          </cell>
          <cell r="AT1011" t="str">
            <v/>
          </cell>
          <cell r="AU1011" t="str">
            <v>00</v>
          </cell>
          <cell r="AV1011" t="str">
            <v>00</v>
          </cell>
          <cell r="AW1011">
            <v>0</v>
          </cell>
          <cell r="AX1011">
            <v>0</v>
          </cell>
          <cell r="AY1011">
            <v>0</v>
          </cell>
          <cell r="AZ1011">
            <v>0</v>
          </cell>
          <cell r="BA1011">
            <v>0</v>
          </cell>
          <cell r="BB1011" t="str">
            <v>濃縮休止</v>
          </cell>
          <cell r="BD1011" t="str">
            <v>濃縮休止</v>
          </cell>
          <cell r="BE1011">
            <v>1</v>
          </cell>
          <cell r="BG1011" t="str">
            <v>1000</v>
          </cell>
        </row>
        <row r="1012">
          <cell r="B1012" t="str">
            <v>G202150106100100</v>
          </cell>
          <cell r="C1012" t="str">
            <v>20.長野県</v>
          </cell>
          <cell r="D1012" t="str">
            <v>215</v>
          </cell>
          <cell r="E1012" t="str">
            <v>塩尻市</v>
          </cell>
          <cell r="F1012" t="str">
            <v>01</v>
          </cell>
          <cell r="G1012" t="str">
            <v>公共 単独</v>
          </cell>
          <cell r="H1012" t="str">
            <v>公共下水道</v>
          </cell>
          <cell r="I1012" t="str">
            <v>単独</v>
          </cell>
          <cell r="J1012" t="str">
            <v>001</v>
          </cell>
          <cell r="K1012" t="str">
            <v>塩尻市浄化センター</v>
          </cell>
          <cell r="M1012" t="str">
            <v>1</v>
          </cell>
          <cell r="N1012" t="str">
            <v>1</v>
          </cell>
          <cell r="Q1012">
            <v>31107</v>
          </cell>
          <cell r="R1012" t="str">
            <v>昭和</v>
          </cell>
          <cell r="S1012">
            <v>60</v>
          </cell>
          <cell r="T1012">
            <v>3</v>
          </cell>
          <cell r="AB1012">
            <v>28700</v>
          </cell>
          <cell r="AC1012" t="str">
            <v>奈良井川（２）</v>
          </cell>
          <cell r="AD1012" t="str">
            <v>Ａ</v>
          </cell>
          <cell r="AE1012" t="str">
            <v>ロ</v>
          </cell>
          <cell r="AF1012">
            <v>15</v>
          </cell>
          <cell r="AK1012" t="str">
            <v>奈良井川</v>
          </cell>
          <cell r="AL1012" t="str">
            <v>片平橋</v>
          </cell>
          <cell r="AM1012">
            <v>16</v>
          </cell>
          <cell r="AO1012" t="str">
            <v>塩尻市・松本市</v>
          </cell>
          <cell r="AQ1012" t="str">
            <v/>
          </cell>
          <cell r="AR1012" t="str">
            <v>標準活性汚泥法</v>
          </cell>
          <cell r="AS1012" t="str">
            <v>2021501001</v>
          </cell>
          <cell r="AT1012" t="str">
            <v/>
          </cell>
          <cell r="AU1012" t="str">
            <v>10</v>
          </cell>
          <cell r="AV1012" t="str">
            <v>10</v>
          </cell>
          <cell r="AW1012">
            <v>0</v>
          </cell>
          <cell r="AX1012">
            <v>0</v>
          </cell>
          <cell r="AY1012">
            <v>0</v>
          </cell>
          <cell r="AZ1012">
            <v>0</v>
          </cell>
          <cell r="BA1012">
            <v>0</v>
          </cell>
          <cell r="BD1012" t="str">
            <v/>
          </cell>
          <cell r="BE1012">
            <v>1</v>
          </cell>
          <cell r="BG1012" t="str">
            <v>1100</v>
          </cell>
        </row>
        <row r="1013">
          <cell r="B1013" t="str">
            <v>G202150206100200</v>
          </cell>
          <cell r="C1013" t="str">
            <v>20.長野県</v>
          </cell>
          <cell r="D1013" t="str">
            <v>215</v>
          </cell>
          <cell r="E1013" t="str">
            <v>塩尻市</v>
          </cell>
          <cell r="F1013" t="str">
            <v>02</v>
          </cell>
          <cell r="G1013" t="str">
            <v>特環 単独</v>
          </cell>
          <cell r="H1013" t="str">
            <v>特定環境保全公共下水道</v>
          </cell>
          <cell r="I1013" t="str">
            <v>単独</v>
          </cell>
          <cell r="J1013" t="str">
            <v>002</v>
          </cell>
          <cell r="K1013" t="str">
            <v>楢川浄化センター</v>
          </cell>
          <cell r="M1013" t="str">
            <v>1</v>
          </cell>
          <cell r="N1013" t="str">
            <v>1</v>
          </cell>
          <cell r="Q1013">
            <v>37226</v>
          </cell>
          <cell r="R1013" t="str">
            <v>平成</v>
          </cell>
          <cell r="S1013">
            <v>13</v>
          </cell>
          <cell r="T1013">
            <v>12</v>
          </cell>
          <cell r="AB1013">
            <v>5100</v>
          </cell>
          <cell r="AC1013" t="str">
            <v>奈良井川（１）</v>
          </cell>
          <cell r="AD1013" t="str">
            <v>Ａ</v>
          </cell>
          <cell r="AE1013" t="str">
            <v>イ</v>
          </cell>
          <cell r="AF1013">
            <v>15</v>
          </cell>
          <cell r="AK1013" t="str">
            <v>奈良井川</v>
          </cell>
          <cell r="AL1013" t="str">
            <v>片平橋</v>
          </cell>
          <cell r="AN1013">
            <v>6</v>
          </cell>
          <cell r="AO1013" t="str">
            <v>塩尻市・松本市</v>
          </cell>
          <cell r="AQ1013" t="str">
            <v/>
          </cell>
          <cell r="AR1013" t="str">
            <v>オキシディションディッチ法</v>
          </cell>
          <cell r="AS1013" t="str">
            <v>2021502002</v>
          </cell>
          <cell r="AT1013" t="str">
            <v/>
          </cell>
          <cell r="AU1013" t="str">
            <v>10</v>
          </cell>
          <cell r="AV1013" t="str">
            <v>10</v>
          </cell>
          <cell r="AW1013">
            <v>0</v>
          </cell>
          <cell r="AX1013">
            <v>0</v>
          </cell>
          <cell r="AY1013">
            <v>0</v>
          </cell>
          <cell r="AZ1013">
            <v>0</v>
          </cell>
          <cell r="BA1013">
            <v>0</v>
          </cell>
          <cell r="BD1013" t="str">
            <v/>
          </cell>
          <cell r="BE1013">
            <v>1</v>
          </cell>
          <cell r="BG1013" t="str">
            <v>1100</v>
          </cell>
        </row>
        <row r="1014">
          <cell r="B1014" t="str">
            <v>G202170106100100</v>
          </cell>
          <cell r="C1014" t="str">
            <v>20.長野県</v>
          </cell>
          <cell r="D1014" t="str">
            <v>217</v>
          </cell>
          <cell r="E1014" t="str">
            <v>佐久市</v>
          </cell>
          <cell r="F1014" t="str">
            <v>01</v>
          </cell>
          <cell r="G1014" t="str">
            <v>公共 単独</v>
          </cell>
          <cell r="H1014" t="str">
            <v>公共下水道</v>
          </cell>
          <cell r="I1014" t="str">
            <v>単独</v>
          </cell>
          <cell r="J1014" t="str">
            <v>001</v>
          </cell>
          <cell r="K1014" t="str">
            <v>佐久市下水道管理センター</v>
          </cell>
          <cell r="M1014" t="str">
            <v>1</v>
          </cell>
          <cell r="N1014" t="str">
            <v>1</v>
          </cell>
          <cell r="Q1014">
            <v>30164</v>
          </cell>
          <cell r="R1014" t="str">
            <v>昭和</v>
          </cell>
          <cell r="S1014">
            <v>57</v>
          </cell>
          <cell r="T1014">
            <v>8</v>
          </cell>
          <cell r="AB1014">
            <v>47000</v>
          </cell>
          <cell r="AC1014" t="str">
            <v>信濃川上流（2）</v>
          </cell>
          <cell r="AF1014">
            <v>15</v>
          </cell>
          <cell r="AK1014" t="str">
            <v>千曲川</v>
          </cell>
          <cell r="AO1014" t="str">
            <v>上田市、千曲市、坂城町</v>
          </cell>
          <cell r="AQ1014" t="str">
            <v/>
          </cell>
          <cell r="AR1014" t="str">
            <v>標準活性汚泥法</v>
          </cell>
          <cell r="AS1014" t="str">
            <v>2021701001</v>
          </cell>
          <cell r="AT1014" t="str">
            <v/>
          </cell>
          <cell r="AU1014" t="str">
            <v>10</v>
          </cell>
          <cell r="AV1014" t="str">
            <v>10</v>
          </cell>
          <cell r="AW1014">
            <v>0</v>
          </cell>
          <cell r="AX1014">
            <v>0</v>
          </cell>
          <cell r="AY1014">
            <v>0</v>
          </cell>
          <cell r="AZ1014">
            <v>0</v>
          </cell>
          <cell r="BA1014">
            <v>0</v>
          </cell>
          <cell r="BD1014" t="str">
            <v/>
          </cell>
          <cell r="BE1014">
            <v>1</v>
          </cell>
          <cell r="BG1014" t="str">
            <v>1100</v>
          </cell>
        </row>
        <row r="1015">
          <cell r="B1015" t="str">
            <v>G202170206100200</v>
          </cell>
          <cell r="C1015" t="str">
            <v>20.長野県</v>
          </cell>
          <cell r="D1015" t="str">
            <v>217</v>
          </cell>
          <cell r="E1015" t="str">
            <v>佐久市</v>
          </cell>
          <cell r="F1015" t="str">
            <v>02</v>
          </cell>
          <cell r="G1015" t="str">
            <v>特環 単独</v>
          </cell>
          <cell r="H1015" t="str">
            <v>特定環境保全公共下水道</v>
          </cell>
          <cell r="I1015" t="str">
            <v>単独</v>
          </cell>
          <cell r="J1015" t="str">
            <v>002</v>
          </cell>
          <cell r="K1015" t="str">
            <v>浅科浄化センター</v>
          </cell>
          <cell r="M1015" t="str">
            <v>1</v>
          </cell>
          <cell r="N1015" t="str">
            <v>1</v>
          </cell>
          <cell r="Q1015">
            <v>35125</v>
          </cell>
          <cell r="R1015" t="str">
            <v>平成</v>
          </cell>
          <cell r="S1015">
            <v>8</v>
          </cell>
          <cell r="T1015">
            <v>3</v>
          </cell>
          <cell r="AB1015">
            <v>11000</v>
          </cell>
          <cell r="AC1015" t="str">
            <v>千曲川</v>
          </cell>
          <cell r="AD1015" t="str">
            <v>Ａ</v>
          </cell>
          <cell r="AE1015" t="str">
            <v>イ</v>
          </cell>
          <cell r="AF1015">
            <v>15</v>
          </cell>
          <cell r="AK1015" t="str">
            <v>千曲川</v>
          </cell>
          <cell r="AL1015" t="str">
            <v>県営水道上田諏訪形・取水口</v>
          </cell>
          <cell r="AN1015">
            <v>20</v>
          </cell>
          <cell r="AO1015" t="str">
            <v>上田市・千曲市・坂城町</v>
          </cell>
          <cell r="AQ1015" t="str">
            <v/>
          </cell>
          <cell r="AR1015" t="str">
            <v>オキシディションディッチ法</v>
          </cell>
          <cell r="AS1015" t="str">
            <v>2021702002</v>
          </cell>
          <cell r="AT1015" t="str">
            <v/>
          </cell>
          <cell r="AU1015" t="str">
            <v>10</v>
          </cell>
          <cell r="AV1015" t="str">
            <v>10</v>
          </cell>
          <cell r="AW1015">
            <v>0</v>
          </cell>
          <cell r="AX1015">
            <v>0</v>
          </cell>
          <cell r="AY1015">
            <v>0</v>
          </cell>
          <cell r="AZ1015">
            <v>0</v>
          </cell>
          <cell r="BA1015">
            <v>0</v>
          </cell>
          <cell r="BD1015" t="str">
            <v/>
          </cell>
          <cell r="BE1015">
            <v>1</v>
          </cell>
          <cell r="BG1015" t="str">
            <v>1100</v>
          </cell>
        </row>
        <row r="1016">
          <cell r="B1016" t="str">
            <v>G202170206100300</v>
          </cell>
          <cell r="C1016" t="str">
            <v>20.長野県</v>
          </cell>
          <cell r="D1016" t="str">
            <v>217</v>
          </cell>
          <cell r="E1016" t="str">
            <v>佐久市</v>
          </cell>
          <cell r="F1016" t="str">
            <v>02</v>
          </cell>
          <cell r="G1016" t="str">
            <v>特環 単独</v>
          </cell>
          <cell r="H1016" t="str">
            <v>特定環境保全公共下水道</v>
          </cell>
          <cell r="I1016" t="str">
            <v>単独</v>
          </cell>
          <cell r="J1016" t="str">
            <v>003</v>
          </cell>
          <cell r="K1016" t="str">
            <v>望月浄化センター</v>
          </cell>
          <cell r="M1016" t="str">
            <v>1</v>
          </cell>
          <cell r="N1016" t="str">
            <v>1</v>
          </cell>
          <cell r="Q1016">
            <v>35704</v>
          </cell>
          <cell r="R1016" t="str">
            <v>平成</v>
          </cell>
          <cell r="S1016">
            <v>9</v>
          </cell>
          <cell r="T1016">
            <v>10</v>
          </cell>
          <cell r="AB1016">
            <v>13044</v>
          </cell>
          <cell r="AC1016" t="str">
            <v>信濃川(千曲川)</v>
          </cell>
          <cell r="AD1016" t="str">
            <v>ＡＡ</v>
          </cell>
          <cell r="AE1016" t="str">
            <v>ハ</v>
          </cell>
          <cell r="AF1016">
            <v>15</v>
          </cell>
          <cell r="AK1016" t="str">
            <v>鹿曲川</v>
          </cell>
          <cell r="AL1016" t="str">
            <v>県営水道　上田諏訪形　取水口</v>
          </cell>
          <cell r="AN1016">
            <v>19</v>
          </cell>
          <cell r="AO1016" t="str">
            <v>上田市・千曲市・坂城町</v>
          </cell>
          <cell r="AQ1016" t="str">
            <v/>
          </cell>
          <cell r="AR1016" t="str">
            <v>オキシディションディッチ法</v>
          </cell>
          <cell r="AS1016" t="str">
            <v>2021702003</v>
          </cell>
          <cell r="AT1016" t="str">
            <v/>
          </cell>
          <cell r="AU1016" t="str">
            <v>10</v>
          </cell>
          <cell r="AV1016" t="str">
            <v>10</v>
          </cell>
          <cell r="AW1016">
            <v>0</v>
          </cell>
          <cell r="AX1016">
            <v>0</v>
          </cell>
          <cell r="AY1016">
            <v>0</v>
          </cell>
          <cell r="AZ1016">
            <v>0</v>
          </cell>
          <cell r="BA1016">
            <v>0</v>
          </cell>
          <cell r="BD1016" t="str">
            <v/>
          </cell>
          <cell r="BE1016">
            <v>1</v>
          </cell>
          <cell r="BG1016" t="str">
            <v>1100</v>
          </cell>
        </row>
        <row r="1017">
          <cell r="B1017" t="str">
            <v>G202170206100400</v>
          </cell>
          <cell r="C1017" t="str">
            <v>20.長野県</v>
          </cell>
          <cell r="D1017" t="str">
            <v>217</v>
          </cell>
          <cell r="E1017" t="str">
            <v>佐久市</v>
          </cell>
          <cell r="F1017" t="str">
            <v>02</v>
          </cell>
          <cell r="G1017" t="str">
            <v>特環 単独</v>
          </cell>
          <cell r="H1017" t="str">
            <v>特定環境保全公共下水道</v>
          </cell>
          <cell r="I1017" t="str">
            <v>単独</v>
          </cell>
          <cell r="J1017" t="str">
            <v>004</v>
          </cell>
          <cell r="K1017" t="str">
            <v>春日浄化センター</v>
          </cell>
          <cell r="M1017" t="str">
            <v>1</v>
          </cell>
          <cell r="N1017" t="str">
            <v>1</v>
          </cell>
          <cell r="Q1017">
            <v>36251</v>
          </cell>
          <cell r="R1017" t="str">
            <v>平成</v>
          </cell>
          <cell r="S1017">
            <v>11</v>
          </cell>
          <cell r="T1017">
            <v>4</v>
          </cell>
          <cell r="AB1017">
            <v>6289</v>
          </cell>
          <cell r="AC1017" t="str">
            <v>信濃川(千曲川)</v>
          </cell>
          <cell r="AD1017" t="str">
            <v>ＡＡ</v>
          </cell>
          <cell r="AE1017" t="str">
            <v>ハ</v>
          </cell>
          <cell r="AF1017">
            <v>15</v>
          </cell>
          <cell r="AK1017" t="str">
            <v>中沢川～鹿曲川</v>
          </cell>
          <cell r="AL1017" t="str">
            <v>県営水道上田市諏訪形　取水口</v>
          </cell>
          <cell r="AN1017">
            <v>25</v>
          </cell>
          <cell r="AO1017" t="str">
            <v>上田市・千曲市・坂城町</v>
          </cell>
          <cell r="AQ1017" t="str">
            <v/>
          </cell>
          <cell r="AR1017" t="str">
            <v>オキシディションディッチ法</v>
          </cell>
          <cell r="AS1017" t="str">
            <v>2021702004</v>
          </cell>
          <cell r="AT1017" t="str">
            <v/>
          </cell>
          <cell r="AU1017" t="str">
            <v>10</v>
          </cell>
          <cell r="AV1017" t="str">
            <v>10</v>
          </cell>
          <cell r="AW1017">
            <v>0</v>
          </cell>
          <cell r="AX1017">
            <v>0</v>
          </cell>
          <cell r="AY1017">
            <v>0</v>
          </cell>
          <cell r="AZ1017">
            <v>0</v>
          </cell>
          <cell r="BA1017">
            <v>0</v>
          </cell>
          <cell r="BD1017" t="str">
            <v/>
          </cell>
          <cell r="BE1017">
            <v>1</v>
          </cell>
          <cell r="BG1017" t="str">
            <v>1100</v>
          </cell>
        </row>
        <row r="1018">
          <cell r="B1018" t="str">
            <v>G202190106100100</v>
          </cell>
          <cell r="C1018" t="str">
            <v>20.長野県</v>
          </cell>
          <cell r="D1018" t="str">
            <v>219</v>
          </cell>
          <cell r="E1018" t="str">
            <v>東御市</v>
          </cell>
          <cell r="F1018" t="str">
            <v>01</v>
          </cell>
          <cell r="G1018" t="str">
            <v>公共 単独</v>
          </cell>
          <cell r="H1018" t="str">
            <v>公共下水道</v>
          </cell>
          <cell r="I1018" t="str">
            <v>単独</v>
          </cell>
          <cell r="J1018" t="str">
            <v>001</v>
          </cell>
          <cell r="K1018" t="str">
            <v>東部浄化センター</v>
          </cell>
          <cell r="M1018" t="str">
            <v>1</v>
          </cell>
          <cell r="N1018" t="str">
            <v>1</v>
          </cell>
          <cell r="Q1018">
            <v>33298</v>
          </cell>
          <cell r="R1018" t="str">
            <v>平成</v>
          </cell>
          <cell r="S1018">
            <v>3</v>
          </cell>
          <cell r="T1018">
            <v>3</v>
          </cell>
          <cell r="AB1018">
            <v>20160</v>
          </cell>
          <cell r="AC1018" t="str">
            <v>信濃川上流（２）</v>
          </cell>
          <cell r="AD1018" t="str">
            <v>Ａ</v>
          </cell>
          <cell r="AE1018" t="str">
            <v>イ</v>
          </cell>
          <cell r="AF1018">
            <v>15</v>
          </cell>
          <cell r="AK1018" t="str">
            <v>成沢川</v>
          </cell>
          <cell r="AL1018" t="str">
            <v>頭首口</v>
          </cell>
          <cell r="AN1018">
            <v>5</v>
          </cell>
          <cell r="AO1018" t="str">
            <v>上田市・千曲市・坂城町・長野市</v>
          </cell>
          <cell r="AQ1018" t="str">
            <v/>
          </cell>
          <cell r="AR1018" t="str">
            <v>オキシディションディッチ法</v>
          </cell>
          <cell r="AS1018" t="str">
            <v>2021901001</v>
          </cell>
          <cell r="AT1018" t="str">
            <v/>
          </cell>
          <cell r="AU1018" t="str">
            <v>10</v>
          </cell>
          <cell r="AV1018" t="str">
            <v>10</v>
          </cell>
          <cell r="AW1018">
            <v>0</v>
          </cell>
          <cell r="AX1018">
            <v>0</v>
          </cell>
          <cell r="AY1018">
            <v>0</v>
          </cell>
          <cell r="AZ1018">
            <v>0</v>
          </cell>
          <cell r="BA1018">
            <v>0</v>
          </cell>
          <cell r="BD1018" t="str">
            <v/>
          </cell>
          <cell r="BE1018">
            <v>1</v>
          </cell>
          <cell r="BG1018" t="str">
            <v>1100</v>
          </cell>
        </row>
        <row r="1019">
          <cell r="B1019" t="str">
            <v>G202190206100200</v>
          </cell>
          <cell r="C1019" t="str">
            <v>20.長野県</v>
          </cell>
          <cell r="D1019" t="str">
            <v>219</v>
          </cell>
          <cell r="E1019" t="str">
            <v>東御市</v>
          </cell>
          <cell r="F1019" t="str">
            <v>02</v>
          </cell>
          <cell r="G1019" t="str">
            <v>特環 単独</v>
          </cell>
          <cell r="H1019" t="str">
            <v>特定環境保全公共下水道</v>
          </cell>
          <cell r="I1019" t="str">
            <v>単独</v>
          </cell>
          <cell r="J1019" t="str">
            <v>002</v>
          </cell>
          <cell r="K1019" t="str">
            <v>川久保浄化センター</v>
          </cell>
          <cell r="M1019" t="str">
            <v>1</v>
          </cell>
          <cell r="N1019" t="str">
            <v>1</v>
          </cell>
          <cell r="Q1019">
            <v>36248</v>
          </cell>
          <cell r="R1019" t="str">
            <v>平成</v>
          </cell>
          <cell r="S1019">
            <v>11</v>
          </cell>
          <cell r="T1019">
            <v>3</v>
          </cell>
          <cell r="AB1019">
            <v>4250</v>
          </cell>
          <cell r="AC1019" t="str">
            <v>信濃川上流（２）</v>
          </cell>
          <cell r="AD1019" t="str">
            <v>Ａ</v>
          </cell>
          <cell r="AE1019" t="str">
            <v>イ</v>
          </cell>
          <cell r="AF1019">
            <v>15</v>
          </cell>
          <cell r="AK1019" t="str">
            <v>鹿曲川</v>
          </cell>
          <cell r="AL1019" t="str">
            <v>頭首工</v>
          </cell>
          <cell r="AN1019">
            <v>10</v>
          </cell>
          <cell r="AO1019" t="str">
            <v>上田市・千曲市・坂城町</v>
          </cell>
          <cell r="AQ1019" t="str">
            <v/>
          </cell>
          <cell r="AR1019" t="str">
            <v>土壌被覆型礫間接触法</v>
          </cell>
          <cell r="AS1019" t="str">
            <v>2021902002</v>
          </cell>
          <cell r="AT1019" t="str">
            <v/>
          </cell>
          <cell r="AU1019" t="str">
            <v>10</v>
          </cell>
          <cell r="AV1019" t="str">
            <v>10</v>
          </cell>
          <cell r="AW1019">
            <v>0</v>
          </cell>
          <cell r="AX1019">
            <v>0</v>
          </cell>
          <cell r="AY1019">
            <v>0</v>
          </cell>
          <cell r="AZ1019">
            <v>0</v>
          </cell>
          <cell r="BA1019">
            <v>0</v>
          </cell>
          <cell r="BD1019" t="str">
            <v/>
          </cell>
          <cell r="BE1019">
            <v>1</v>
          </cell>
          <cell r="BG1019" t="str">
            <v>1100</v>
          </cell>
        </row>
        <row r="1020">
          <cell r="B1020" t="str">
            <v>G202200106100100</v>
          </cell>
          <cell r="C1020" t="str">
            <v>20.長野県</v>
          </cell>
          <cell r="D1020" t="str">
            <v>220</v>
          </cell>
          <cell r="E1020" t="str">
            <v>安曇野市</v>
          </cell>
          <cell r="F1020" t="str">
            <v>01</v>
          </cell>
          <cell r="G1020" t="str">
            <v>公共 単独</v>
          </cell>
          <cell r="H1020" t="str">
            <v>公共下水道</v>
          </cell>
          <cell r="I1020" t="str">
            <v>単独</v>
          </cell>
          <cell r="J1020" t="str">
            <v>001</v>
          </cell>
          <cell r="K1020" t="str">
            <v>明科浄化センター</v>
          </cell>
          <cell r="M1020" t="str">
            <v>1</v>
          </cell>
          <cell r="N1020" t="str">
            <v>1</v>
          </cell>
          <cell r="Q1020">
            <v>36617</v>
          </cell>
          <cell r="R1020" t="str">
            <v>平成</v>
          </cell>
          <cell r="S1020">
            <v>12</v>
          </cell>
          <cell r="T1020">
            <v>4</v>
          </cell>
          <cell r="AB1020">
            <v>8500</v>
          </cell>
          <cell r="AC1020" t="str">
            <v>犀川</v>
          </cell>
          <cell r="AD1020" t="str">
            <v>Ａ</v>
          </cell>
          <cell r="AE1020" t="str">
            <v>ロ</v>
          </cell>
          <cell r="AF1020">
            <v>15</v>
          </cell>
          <cell r="AK1020" t="str">
            <v>潮沢河</v>
          </cell>
          <cell r="AL1020" t="str">
            <v>犀川</v>
          </cell>
          <cell r="AN1020">
            <v>20</v>
          </cell>
          <cell r="AO1020" t="str">
            <v>生坂村、長野市</v>
          </cell>
          <cell r="AQ1020" t="str">
            <v/>
          </cell>
          <cell r="AR1020" t="str">
            <v>長時間エアレーション法</v>
          </cell>
          <cell r="AS1020" t="str">
            <v>2022001001</v>
          </cell>
          <cell r="AT1020" t="str">
            <v/>
          </cell>
          <cell r="AU1020" t="str">
            <v>10</v>
          </cell>
          <cell r="AV1020" t="str">
            <v>10</v>
          </cell>
          <cell r="AW1020">
            <v>0</v>
          </cell>
          <cell r="AX1020">
            <v>0</v>
          </cell>
          <cell r="AY1020">
            <v>0</v>
          </cell>
          <cell r="AZ1020">
            <v>0</v>
          </cell>
          <cell r="BA1020">
            <v>0</v>
          </cell>
          <cell r="BD1020" t="str">
            <v/>
          </cell>
          <cell r="BE1020">
            <v>1</v>
          </cell>
          <cell r="BG1020" t="str">
            <v>1100</v>
          </cell>
        </row>
        <row r="1021">
          <cell r="B1021" t="str">
            <v>G203040206100100</v>
          </cell>
          <cell r="C1021" t="str">
            <v>20.長野県</v>
          </cell>
          <cell r="D1021" t="str">
            <v>304</v>
          </cell>
          <cell r="E1021" t="str">
            <v>川上村</v>
          </cell>
          <cell r="F1021" t="str">
            <v>02</v>
          </cell>
          <cell r="G1021" t="str">
            <v>特環 単独</v>
          </cell>
          <cell r="H1021" t="str">
            <v>特定環境保全公共下水道</v>
          </cell>
          <cell r="I1021" t="str">
            <v>単独</v>
          </cell>
          <cell r="J1021" t="str">
            <v>001</v>
          </cell>
          <cell r="K1021" t="str">
            <v>川上浄化センター</v>
          </cell>
          <cell r="M1021" t="str">
            <v>1</v>
          </cell>
          <cell r="N1021" t="str">
            <v>1</v>
          </cell>
          <cell r="Q1021">
            <v>36617</v>
          </cell>
          <cell r="R1021" t="str">
            <v>平成</v>
          </cell>
          <cell r="S1021">
            <v>12</v>
          </cell>
          <cell r="T1021">
            <v>4</v>
          </cell>
          <cell r="AB1021">
            <v>1522</v>
          </cell>
          <cell r="AC1021" t="str">
            <v>矢出川</v>
          </cell>
          <cell r="AD1021" t="str">
            <v>ＡＡ</v>
          </cell>
          <cell r="AE1021" t="str">
            <v>イ</v>
          </cell>
          <cell r="AF1021">
            <v>15</v>
          </cell>
          <cell r="AK1021" t="str">
            <v>矢出川</v>
          </cell>
          <cell r="AQ1021" t="str">
            <v/>
          </cell>
          <cell r="AR1021" t="str">
            <v>オキシディションディッチ法</v>
          </cell>
          <cell r="AS1021" t="str">
            <v>2030402001</v>
          </cell>
          <cell r="AT1021" t="str">
            <v/>
          </cell>
          <cell r="AU1021" t="str">
            <v>10</v>
          </cell>
          <cell r="AV1021" t="str">
            <v>10</v>
          </cell>
          <cell r="AW1021">
            <v>0</v>
          </cell>
          <cell r="AX1021">
            <v>0</v>
          </cell>
          <cell r="AY1021">
            <v>0</v>
          </cell>
          <cell r="AZ1021">
            <v>0</v>
          </cell>
          <cell r="BA1021">
            <v>0</v>
          </cell>
          <cell r="BD1021" t="str">
            <v/>
          </cell>
          <cell r="BE1021">
            <v>1</v>
          </cell>
          <cell r="BG1021" t="str">
            <v>1100</v>
          </cell>
        </row>
        <row r="1022">
          <cell r="B1022" t="str">
            <v>G203050206100100</v>
          </cell>
          <cell r="C1022" t="str">
            <v>20.長野県</v>
          </cell>
          <cell r="D1022" t="str">
            <v>305</v>
          </cell>
          <cell r="E1022" t="str">
            <v>南牧村</v>
          </cell>
          <cell r="F1022" t="str">
            <v>02</v>
          </cell>
          <cell r="G1022" t="str">
            <v>特環 単独</v>
          </cell>
          <cell r="H1022" t="str">
            <v>特定環境保全公共下水道</v>
          </cell>
          <cell r="I1022" t="str">
            <v>単独</v>
          </cell>
          <cell r="J1022" t="str">
            <v>001</v>
          </cell>
          <cell r="K1022" t="str">
            <v>海尻浄化センター</v>
          </cell>
          <cell r="M1022" t="str">
            <v>1</v>
          </cell>
          <cell r="N1022" t="str">
            <v>1</v>
          </cell>
          <cell r="Q1022">
            <v>34759</v>
          </cell>
          <cell r="R1022" t="str">
            <v>平成</v>
          </cell>
          <cell r="S1022">
            <v>7</v>
          </cell>
          <cell r="T1022">
            <v>3</v>
          </cell>
          <cell r="AB1022">
            <v>1370</v>
          </cell>
          <cell r="AC1022" t="str">
            <v>信濃川上流(2)</v>
          </cell>
          <cell r="AD1022" t="str">
            <v>Ａ</v>
          </cell>
          <cell r="AE1022" t="str">
            <v>イ</v>
          </cell>
          <cell r="AF1022">
            <v>20</v>
          </cell>
          <cell r="AI1022" t="str">
            <v>奈良井川</v>
          </cell>
          <cell r="AK1022" t="str">
            <v>千曲川</v>
          </cell>
          <cell r="AQ1022" t="str">
            <v/>
          </cell>
          <cell r="AR1022" t="str">
            <v>オキシディションディッチ法</v>
          </cell>
          <cell r="AS1022" t="str">
            <v>2030502001</v>
          </cell>
          <cell r="AT1022" t="str">
            <v/>
          </cell>
          <cell r="AU1022" t="str">
            <v>10</v>
          </cell>
          <cell r="AV1022" t="str">
            <v>10</v>
          </cell>
          <cell r="AW1022">
            <v>0</v>
          </cell>
          <cell r="AX1022">
            <v>0</v>
          </cell>
          <cell r="AY1022">
            <v>0</v>
          </cell>
          <cell r="AZ1022">
            <v>0</v>
          </cell>
          <cell r="BA1022">
            <v>0</v>
          </cell>
          <cell r="BD1022" t="str">
            <v/>
          </cell>
          <cell r="BE1022">
            <v>1</v>
          </cell>
          <cell r="BG1022" t="str">
            <v>1100</v>
          </cell>
        </row>
        <row r="1023">
          <cell r="B1023" t="str">
            <v>G203050206100200</v>
          </cell>
          <cell r="C1023" t="str">
            <v>20.長野県</v>
          </cell>
          <cell r="D1023" t="str">
            <v>305</v>
          </cell>
          <cell r="E1023" t="str">
            <v>南牧村</v>
          </cell>
          <cell r="F1023" t="str">
            <v>02</v>
          </cell>
          <cell r="G1023" t="str">
            <v>特環 単独</v>
          </cell>
          <cell r="H1023" t="str">
            <v>特定環境保全公共下水道</v>
          </cell>
          <cell r="I1023" t="str">
            <v>単独</v>
          </cell>
          <cell r="J1023" t="str">
            <v>002</v>
          </cell>
          <cell r="K1023" t="str">
            <v>野辺山浄化センター</v>
          </cell>
          <cell r="M1023" t="str">
            <v>1</v>
          </cell>
          <cell r="N1023" t="str">
            <v>1</v>
          </cell>
          <cell r="Q1023">
            <v>35855</v>
          </cell>
          <cell r="R1023" t="str">
            <v>平成</v>
          </cell>
          <cell r="S1023">
            <v>10</v>
          </cell>
          <cell r="T1023">
            <v>3</v>
          </cell>
          <cell r="AB1023">
            <v>2500</v>
          </cell>
          <cell r="AC1023" t="str">
            <v>信濃川上流(１)</v>
          </cell>
          <cell r="AD1023" t="str">
            <v>ＡＡ</v>
          </cell>
          <cell r="AE1023" t="str">
            <v>イ</v>
          </cell>
          <cell r="AF1023">
            <v>20</v>
          </cell>
          <cell r="AI1023" t="str">
            <v>喜峯川</v>
          </cell>
          <cell r="AK1023" t="str">
            <v>千曲川</v>
          </cell>
          <cell r="AQ1023" t="str">
            <v/>
          </cell>
          <cell r="AR1023" t="str">
            <v>オキシディションディッチ法</v>
          </cell>
          <cell r="AS1023" t="str">
            <v>2030502002</v>
          </cell>
          <cell r="AT1023" t="str">
            <v/>
          </cell>
          <cell r="AU1023" t="str">
            <v>10</v>
          </cell>
          <cell r="AV1023" t="str">
            <v>10</v>
          </cell>
          <cell r="AW1023">
            <v>0</v>
          </cell>
          <cell r="AX1023">
            <v>0</v>
          </cell>
          <cell r="AY1023">
            <v>0</v>
          </cell>
          <cell r="AZ1023">
            <v>0</v>
          </cell>
          <cell r="BA1023">
            <v>0</v>
          </cell>
          <cell r="BD1023" t="str">
            <v/>
          </cell>
          <cell r="BE1023">
            <v>1</v>
          </cell>
          <cell r="BG1023" t="str">
            <v>1100</v>
          </cell>
        </row>
        <row r="1024">
          <cell r="B1024" t="str">
            <v>G203210106100100</v>
          </cell>
          <cell r="C1024" t="str">
            <v>20.長野県</v>
          </cell>
          <cell r="D1024" t="str">
            <v>321</v>
          </cell>
          <cell r="E1024" t="str">
            <v>軽井沢町</v>
          </cell>
          <cell r="F1024" t="str">
            <v>01</v>
          </cell>
          <cell r="G1024" t="str">
            <v>公共 単独</v>
          </cell>
          <cell r="H1024" t="str">
            <v>公共下水道</v>
          </cell>
          <cell r="I1024" t="str">
            <v>単独</v>
          </cell>
          <cell r="J1024" t="str">
            <v>001</v>
          </cell>
          <cell r="K1024" t="str">
            <v>軽井沢浄化管理センター</v>
          </cell>
          <cell r="M1024" t="str">
            <v>1</v>
          </cell>
          <cell r="N1024" t="str">
            <v>1</v>
          </cell>
          <cell r="Q1024">
            <v>34060</v>
          </cell>
          <cell r="R1024" t="str">
            <v>平成</v>
          </cell>
          <cell r="S1024">
            <v>5</v>
          </cell>
          <cell r="T1024">
            <v>4</v>
          </cell>
          <cell r="AB1024">
            <v>52000</v>
          </cell>
          <cell r="AC1024" t="str">
            <v>信濃川上流（２）</v>
          </cell>
          <cell r="AD1024" t="str">
            <v>Ａ</v>
          </cell>
          <cell r="AE1024" t="str">
            <v>イ</v>
          </cell>
          <cell r="AF1024">
            <v>15</v>
          </cell>
          <cell r="AI1024" t="str">
            <v>泥川</v>
          </cell>
          <cell r="AK1024" t="str">
            <v>湯川</v>
          </cell>
          <cell r="AL1024" t="str">
            <v>上田市小牧</v>
          </cell>
          <cell r="AN1024">
            <v>45</v>
          </cell>
          <cell r="AO1024" t="str">
            <v>上田市・千曲市他</v>
          </cell>
          <cell r="AQ1024" t="str">
            <v/>
          </cell>
          <cell r="AR1024" t="str">
            <v>オキシディションディッチ法</v>
          </cell>
          <cell r="AS1024" t="str">
            <v>2032101001</v>
          </cell>
          <cell r="AT1024" t="str">
            <v/>
          </cell>
          <cell r="AU1024" t="str">
            <v>10</v>
          </cell>
          <cell r="AV1024" t="str">
            <v>10</v>
          </cell>
          <cell r="AW1024">
            <v>0</v>
          </cell>
          <cell r="AX1024">
            <v>0</v>
          </cell>
          <cell r="AY1024">
            <v>0</v>
          </cell>
          <cell r="AZ1024">
            <v>0</v>
          </cell>
          <cell r="BA1024">
            <v>0</v>
          </cell>
          <cell r="BD1024" t="str">
            <v/>
          </cell>
          <cell r="BE1024">
            <v>1</v>
          </cell>
          <cell r="BG1024" t="str">
            <v>1100</v>
          </cell>
        </row>
        <row r="1025">
          <cell r="B1025" t="str">
            <v>G203210106100200</v>
          </cell>
          <cell r="C1025" t="str">
            <v>20.長野県</v>
          </cell>
          <cell r="D1025" t="str">
            <v>321</v>
          </cell>
          <cell r="E1025" t="str">
            <v>軽井沢町</v>
          </cell>
          <cell r="F1025" t="str">
            <v>01</v>
          </cell>
          <cell r="G1025" t="str">
            <v>公共 単独</v>
          </cell>
          <cell r="H1025" t="str">
            <v>公共下水道</v>
          </cell>
          <cell r="I1025" t="str">
            <v>単独</v>
          </cell>
          <cell r="J1025" t="str">
            <v>002</v>
          </cell>
          <cell r="K1025" t="str">
            <v>軽井沢西浄化センター</v>
          </cell>
          <cell r="M1025" t="str">
            <v>1</v>
          </cell>
          <cell r="N1025" t="str">
            <v>1</v>
          </cell>
          <cell r="Q1025">
            <v>36982</v>
          </cell>
          <cell r="R1025" t="str">
            <v>平成</v>
          </cell>
          <cell r="S1025">
            <v>13</v>
          </cell>
          <cell r="T1025">
            <v>4</v>
          </cell>
          <cell r="AB1025">
            <v>10000</v>
          </cell>
          <cell r="AC1025" t="str">
            <v>信濃川上流（２）</v>
          </cell>
          <cell r="AD1025" t="str">
            <v>Ａ</v>
          </cell>
          <cell r="AE1025" t="str">
            <v>イ</v>
          </cell>
          <cell r="AF1025">
            <v>15</v>
          </cell>
          <cell r="AI1025" t="str">
            <v>小井戸用水</v>
          </cell>
          <cell r="AK1025" t="str">
            <v>湯川</v>
          </cell>
          <cell r="AL1025" t="str">
            <v>上田市小牧</v>
          </cell>
          <cell r="AN1025">
            <v>40</v>
          </cell>
          <cell r="AO1025" t="str">
            <v>上田市・千曲市他</v>
          </cell>
          <cell r="AQ1025" t="str">
            <v/>
          </cell>
          <cell r="AR1025" t="str">
            <v>オキシディションディッチ法</v>
          </cell>
          <cell r="AS1025" t="str">
            <v>2032101002</v>
          </cell>
          <cell r="AT1025" t="str">
            <v/>
          </cell>
          <cell r="AU1025" t="str">
            <v>10</v>
          </cell>
          <cell r="AV1025" t="str">
            <v>10</v>
          </cell>
          <cell r="AW1025">
            <v>0</v>
          </cell>
          <cell r="AX1025">
            <v>0</v>
          </cell>
          <cell r="AY1025">
            <v>0</v>
          </cell>
          <cell r="AZ1025">
            <v>0</v>
          </cell>
          <cell r="BA1025">
            <v>0</v>
          </cell>
          <cell r="BD1025" t="str">
            <v/>
          </cell>
          <cell r="BE1025">
            <v>1</v>
          </cell>
          <cell r="BG1025" t="str">
            <v>1100</v>
          </cell>
        </row>
        <row r="1026">
          <cell r="B1026" t="str">
            <v>G203230106100100</v>
          </cell>
          <cell r="C1026" t="str">
            <v>20.長野県</v>
          </cell>
          <cell r="D1026" t="str">
            <v>323</v>
          </cell>
          <cell r="E1026" t="str">
            <v>御代田町</v>
          </cell>
          <cell r="F1026" t="str">
            <v>01</v>
          </cell>
          <cell r="G1026" t="str">
            <v>公共 単独</v>
          </cell>
          <cell r="H1026" t="str">
            <v>公共下水道</v>
          </cell>
          <cell r="I1026" t="str">
            <v>単独</v>
          </cell>
          <cell r="J1026" t="str">
            <v>001</v>
          </cell>
          <cell r="K1026" t="str">
            <v>御代田浄化管理センター</v>
          </cell>
          <cell r="M1026" t="str">
            <v>1</v>
          </cell>
          <cell r="N1026" t="str">
            <v>1</v>
          </cell>
          <cell r="Q1026">
            <v>35125</v>
          </cell>
          <cell r="R1026" t="str">
            <v>平成</v>
          </cell>
          <cell r="S1026">
            <v>8</v>
          </cell>
          <cell r="T1026">
            <v>3</v>
          </cell>
          <cell r="AB1026">
            <v>32000</v>
          </cell>
          <cell r="AC1026" t="str">
            <v>湯川水域</v>
          </cell>
          <cell r="AD1026" t="str">
            <v>Ａ</v>
          </cell>
          <cell r="AE1026" t="str">
            <v>イ</v>
          </cell>
          <cell r="AF1026">
            <v>15</v>
          </cell>
          <cell r="AI1026" t="str">
            <v>久保沢川</v>
          </cell>
          <cell r="AL1026" t="str">
            <v>上田市小牧</v>
          </cell>
          <cell r="AN1026">
            <v>35</v>
          </cell>
          <cell r="AO1026" t="str">
            <v>上田市・千曲市　他</v>
          </cell>
          <cell r="AQ1026" t="str">
            <v/>
          </cell>
          <cell r="AR1026" t="str">
            <v>オキシディションディッチ法</v>
          </cell>
          <cell r="AS1026" t="str">
            <v>2032301001</v>
          </cell>
          <cell r="AT1026" t="str">
            <v/>
          </cell>
          <cell r="AU1026" t="str">
            <v>10</v>
          </cell>
          <cell r="AV1026" t="str">
            <v>10</v>
          </cell>
          <cell r="AW1026">
            <v>0</v>
          </cell>
          <cell r="AX1026">
            <v>0</v>
          </cell>
          <cell r="AY1026">
            <v>0</v>
          </cell>
          <cell r="AZ1026">
            <v>0</v>
          </cell>
          <cell r="BA1026">
            <v>0</v>
          </cell>
          <cell r="BD1026" t="str">
            <v/>
          </cell>
          <cell r="BE1026">
            <v>1</v>
          </cell>
          <cell r="BG1026" t="str">
            <v>1100</v>
          </cell>
        </row>
        <row r="1027">
          <cell r="B1027" t="str">
            <v>G203240206100100</v>
          </cell>
          <cell r="C1027" t="str">
            <v>20.長野県</v>
          </cell>
          <cell r="D1027" t="str">
            <v>324</v>
          </cell>
          <cell r="E1027" t="str">
            <v>立科町</v>
          </cell>
          <cell r="F1027" t="str">
            <v>02</v>
          </cell>
          <cell r="G1027" t="str">
            <v>特環 単独</v>
          </cell>
          <cell r="H1027" t="str">
            <v>特定環境保全公共下水道</v>
          </cell>
          <cell r="I1027" t="str">
            <v>単独</v>
          </cell>
          <cell r="J1027" t="str">
            <v>001</v>
          </cell>
          <cell r="K1027" t="str">
            <v>立科浄化管理センター</v>
          </cell>
          <cell r="M1027" t="str">
            <v>1</v>
          </cell>
          <cell r="N1027" t="str">
            <v>1</v>
          </cell>
          <cell r="Q1027">
            <v>35886</v>
          </cell>
          <cell r="R1027" t="str">
            <v>平成</v>
          </cell>
          <cell r="S1027">
            <v>10</v>
          </cell>
          <cell r="T1027">
            <v>4</v>
          </cell>
          <cell r="AB1027">
            <v>12604</v>
          </cell>
          <cell r="AC1027" t="str">
            <v>設定なし</v>
          </cell>
          <cell r="AF1027">
            <v>15</v>
          </cell>
          <cell r="AI1027" t="str">
            <v>番屋川</v>
          </cell>
          <cell r="AK1027" t="str">
            <v>鹿曲川</v>
          </cell>
          <cell r="AL1027" t="str">
            <v>諏訪形浄水場</v>
          </cell>
          <cell r="AN1027">
            <v>16.3</v>
          </cell>
          <cell r="AO1027" t="str">
            <v>上田市、千曲市、坂城町</v>
          </cell>
          <cell r="AQ1027" t="str">
            <v/>
          </cell>
          <cell r="AR1027" t="str">
            <v>オキシディションディッチ法</v>
          </cell>
          <cell r="AS1027" t="str">
            <v>2032402001</v>
          </cell>
          <cell r="AT1027" t="str">
            <v/>
          </cell>
          <cell r="AU1027" t="str">
            <v>10</v>
          </cell>
          <cell r="AV1027" t="str">
            <v>10</v>
          </cell>
          <cell r="AW1027">
            <v>0</v>
          </cell>
          <cell r="AX1027">
            <v>0</v>
          </cell>
          <cell r="AY1027">
            <v>0</v>
          </cell>
          <cell r="AZ1027">
            <v>0</v>
          </cell>
          <cell r="BA1027">
            <v>0</v>
          </cell>
          <cell r="BD1027" t="str">
            <v/>
          </cell>
          <cell r="BE1027">
            <v>1</v>
          </cell>
          <cell r="BG1027" t="str">
            <v>1100</v>
          </cell>
        </row>
        <row r="1028">
          <cell r="B1028" t="str">
            <v>G203490206100100</v>
          </cell>
          <cell r="C1028" t="str">
            <v>20.長野県</v>
          </cell>
          <cell r="D1028" t="str">
            <v>349</v>
          </cell>
          <cell r="E1028" t="str">
            <v>青木村</v>
          </cell>
          <cell r="F1028" t="str">
            <v>02</v>
          </cell>
          <cell r="G1028" t="str">
            <v>特環 単独</v>
          </cell>
          <cell r="H1028" t="str">
            <v>特定環境保全公共下水道</v>
          </cell>
          <cell r="I1028" t="str">
            <v>単独</v>
          </cell>
          <cell r="J1028" t="str">
            <v>001</v>
          </cell>
          <cell r="K1028" t="str">
            <v>青木村浄化センター</v>
          </cell>
          <cell r="M1028" t="str">
            <v>1</v>
          </cell>
          <cell r="N1028" t="str">
            <v>1</v>
          </cell>
          <cell r="Q1028">
            <v>35130</v>
          </cell>
          <cell r="R1028" t="str">
            <v>平成</v>
          </cell>
          <cell r="S1028">
            <v>8</v>
          </cell>
          <cell r="T1028">
            <v>3</v>
          </cell>
          <cell r="AB1028">
            <v>5284</v>
          </cell>
          <cell r="AC1028" t="str">
            <v>信濃川（２）</v>
          </cell>
          <cell r="AD1028" t="str">
            <v>Ａ</v>
          </cell>
          <cell r="AE1028" t="str">
            <v>ハ</v>
          </cell>
          <cell r="AK1028" t="str">
            <v>浦野川</v>
          </cell>
          <cell r="AL1028" t="str">
            <v>滝川ダム</v>
          </cell>
          <cell r="AM1028">
            <v>8</v>
          </cell>
          <cell r="AO1028" t="str">
            <v>青木村</v>
          </cell>
          <cell r="AQ1028" t="str">
            <v/>
          </cell>
          <cell r="AR1028" t="str">
            <v>オキシディションディッチ法</v>
          </cell>
          <cell r="AS1028" t="str">
            <v>2034902001</v>
          </cell>
          <cell r="AT1028" t="str">
            <v/>
          </cell>
          <cell r="AU1028" t="str">
            <v>10</v>
          </cell>
          <cell r="AV1028" t="str">
            <v>10</v>
          </cell>
          <cell r="AW1028">
            <v>0</v>
          </cell>
          <cell r="AX1028">
            <v>0</v>
          </cell>
          <cell r="AY1028">
            <v>0</v>
          </cell>
          <cell r="AZ1028">
            <v>0</v>
          </cell>
          <cell r="BA1028">
            <v>0</v>
          </cell>
          <cell r="BD1028" t="str">
            <v/>
          </cell>
          <cell r="BE1028">
            <v>1</v>
          </cell>
          <cell r="BG1028" t="str">
            <v>1100</v>
          </cell>
        </row>
        <row r="1029">
          <cell r="B1029" t="str">
            <v>G203500206100100</v>
          </cell>
          <cell r="C1029" t="str">
            <v>20.長野県</v>
          </cell>
          <cell r="D1029" t="str">
            <v>350</v>
          </cell>
          <cell r="E1029" t="str">
            <v>長和町</v>
          </cell>
          <cell r="F1029" t="str">
            <v>02</v>
          </cell>
          <cell r="G1029" t="str">
            <v>特環 単独</v>
          </cell>
          <cell r="H1029" t="str">
            <v>特定環境保全公共下水道</v>
          </cell>
          <cell r="I1029" t="str">
            <v>単独</v>
          </cell>
          <cell r="J1029" t="str">
            <v>001</v>
          </cell>
          <cell r="K1029" t="str">
            <v>長門水処理センター</v>
          </cell>
          <cell r="M1029" t="str">
            <v>1</v>
          </cell>
          <cell r="N1029" t="str">
            <v>1</v>
          </cell>
          <cell r="Q1029">
            <v>35855</v>
          </cell>
          <cell r="R1029" t="str">
            <v>平成</v>
          </cell>
          <cell r="S1029">
            <v>10</v>
          </cell>
          <cell r="T1029">
            <v>3</v>
          </cell>
          <cell r="AB1029">
            <v>14000</v>
          </cell>
          <cell r="AF1029">
            <v>15</v>
          </cell>
          <cell r="AK1029" t="str">
            <v>武石川</v>
          </cell>
          <cell r="AL1029" t="str">
            <v>上田市丸子浄水場</v>
          </cell>
          <cell r="AN1029">
            <v>1.2</v>
          </cell>
          <cell r="AO1029" t="str">
            <v>上田市</v>
          </cell>
          <cell r="AQ1029" t="str">
            <v/>
          </cell>
          <cell r="AR1029" t="str">
            <v>オキシディションディッチ法</v>
          </cell>
          <cell r="AS1029" t="str">
            <v>2035002001</v>
          </cell>
          <cell r="AT1029" t="str">
            <v/>
          </cell>
          <cell r="AU1029" t="str">
            <v>10</v>
          </cell>
          <cell r="AV1029" t="str">
            <v>10</v>
          </cell>
          <cell r="AW1029">
            <v>0</v>
          </cell>
          <cell r="AX1029">
            <v>0</v>
          </cell>
          <cell r="AY1029">
            <v>0</v>
          </cell>
          <cell r="AZ1029">
            <v>0</v>
          </cell>
          <cell r="BA1029">
            <v>0</v>
          </cell>
          <cell r="BD1029" t="str">
            <v/>
          </cell>
          <cell r="BE1029">
            <v>1</v>
          </cell>
          <cell r="BG1029" t="str">
            <v>1100</v>
          </cell>
        </row>
        <row r="1030">
          <cell r="B1030" t="str">
            <v>G203500206100200</v>
          </cell>
          <cell r="C1030" t="str">
            <v>20.長野県</v>
          </cell>
          <cell r="D1030" t="str">
            <v>350</v>
          </cell>
          <cell r="E1030" t="str">
            <v>長和町</v>
          </cell>
          <cell r="F1030" t="str">
            <v>02</v>
          </cell>
          <cell r="G1030" t="str">
            <v>特環 単独</v>
          </cell>
          <cell r="H1030" t="str">
            <v>特定環境保全公共下水道</v>
          </cell>
          <cell r="I1030" t="str">
            <v>単独</v>
          </cell>
          <cell r="J1030" t="str">
            <v>002</v>
          </cell>
          <cell r="K1030" t="str">
            <v>鷹山水処理センター</v>
          </cell>
          <cell r="M1030" t="str">
            <v>1</v>
          </cell>
          <cell r="N1030" t="str">
            <v>1</v>
          </cell>
          <cell r="Q1030">
            <v>38322</v>
          </cell>
          <cell r="R1030" t="str">
            <v>平成</v>
          </cell>
          <cell r="S1030">
            <v>16</v>
          </cell>
          <cell r="T1030">
            <v>12</v>
          </cell>
          <cell r="AB1030">
            <v>3000</v>
          </cell>
          <cell r="AF1030">
            <v>15</v>
          </cell>
          <cell r="AK1030" t="str">
            <v>大門川</v>
          </cell>
          <cell r="AL1030" t="str">
            <v>上田市丸子浄水場</v>
          </cell>
          <cell r="AN1030">
            <v>19</v>
          </cell>
          <cell r="AQ1030" t="str">
            <v/>
          </cell>
          <cell r="AR1030" t="str">
            <v>オキシディションディッチ法</v>
          </cell>
          <cell r="AS1030" t="str">
            <v>2035002002</v>
          </cell>
          <cell r="AT1030" t="str">
            <v/>
          </cell>
          <cell r="AU1030" t="str">
            <v>10</v>
          </cell>
          <cell r="AV1030" t="str">
            <v>10</v>
          </cell>
          <cell r="AW1030">
            <v>0</v>
          </cell>
          <cell r="AX1030">
            <v>0</v>
          </cell>
          <cell r="AY1030">
            <v>0</v>
          </cell>
          <cell r="AZ1030">
            <v>0</v>
          </cell>
          <cell r="BA1030">
            <v>0</v>
          </cell>
          <cell r="BD1030" t="str">
            <v/>
          </cell>
          <cell r="BE1030">
            <v>1</v>
          </cell>
          <cell r="BG1030" t="str">
            <v>1100</v>
          </cell>
        </row>
        <row r="1031">
          <cell r="B1031" t="str">
            <v>G203620106100100</v>
          </cell>
          <cell r="C1031" t="str">
            <v>20.長野県</v>
          </cell>
          <cell r="D1031" t="str">
            <v>362</v>
          </cell>
          <cell r="E1031" t="str">
            <v>富士見町</v>
          </cell>
          <cell r="F1031" t="str">
            <v>01</v>
          </cell>
          <cell r="G1031" t="str">
            <v>公共 単独</v>
          </cell>
          <cell r="H1031" t="str">
            <v>公共下水道</v>
          </cell>
          <cell r="I1031" t="str">
            <v>単独</v>
          </cell>
          <cell r="J1031" t="str">
            <v>001</v>
          </cell>
          <cell r="K1031" t="str">
            <v>富士見処理場</v>
          </cell>
          <cell r="M1031" t="str">
            <v>1</v>
          </cell>
          <cell r="N1031" t="str">
            <v>1</v>
          </cell>
          <cell r="Q1031">
            <v>35125</v>
          </cell>
          <cell r="R1031" t="str">
            <v>平成</v>
          </cell>
          <cell r="S1031">
            <v>8</v>
          </cell>
          <cell r="T1031">
            <v>3</v>
          </cell>
          <cell r="AB1031">
            <v>11800</v>
          </cell>
          <cell r="AC1031" t="str">
            <v>富士川</v>
          </cell>
          <cell r="AD1031" t="str">
            <v>ＡＡ</v>
          </cell>
          <cell r="AE1031" t="str">
            <v>イ</v>
          </cell>
          <cell r="AF1031">
            <v>15</v>
          </cell>
          <cell r="AK1031" t="str">
            <v>釜無川</v>
          </cell>
          <cell r="AN1031">
            <v>54.1</v>
          </cell>
          <cell r="AO1031" t="str">
            <v>市川三郷町</v>
          </cell>
          <cell r="AQ1031" t="str">
            <v/>
          </cell>
          <cell r="AR1031" t="str">
            <v>オキシディションディッチ法</v>
          </cell>
          <cell r="AS1031" t="str">
            <v>2036201001</v>
          </cell>
          <cell r="AT1031" t="str">
            <v/>
          </cell>
          <cell r="AU1031" t="str">
            <v>10</v>
          </cell>
          <cell r="AV1031" t="str">
            <v>10</v>
          </cell>
          <cell r="AW1031">
            <v>0</v>
          </cell>
          <cell r="AX1031">
            <v>0</v>
          </cell>
          <cell r="AY1031">
            <v>0</v>
          </cell>
          <cell r="AZ1031">
            <v>0</v>
          </cell>
          <cell r="BA1031">
            <v>0</v>
          </cell>
          <cell r="BD1031" t="str">
            <v/>
          </cell>
          <cell r="BE1031">
            <v>1</v>
          </cell>
          <cell r="BG1031" t="str">
            <v>1100</v>
          </cell>
        </row>
        <row r="1032">
          <cell r="B1032" t="str">
            <v>G203620106100200</v>
          </cell>
          <cell r="C1032" t="str">
            <v>20.長野県</v>
          </cell>
          <cell r="D1032" t="str">
            <v>362</v>
          </cell>
          <cell r="E1032" t="str">
            <v>富士見町</v>
          </cell>
          <cell r="F1032" t="str">
            <v>01</v>
          </cell>
          <cell r="G1032" t="str">
            <v>公共 単独</v>
          </cell>
          <cell r="H1032" t="str">
            <v>公共下水道</v>
          </cell>
          <cell r="I1032" t="str">
            <v>単独</v>
          </cell>
          <cell r="J1032" t="str">
            <v>002</v>
          </cell>
          <cell r="K1032" t="str">
            <v>境処理場</v>
          </cell>
          <cell r="M1032" t="str">
            <v>1</v>
          </cell>
          <cell r="N1032" t="str">
            <v>1</v>
          </cell>
          <cell r="Q1032">
            <v>36220</v>
          </cell>
          <cell r="R1032" t="str">
            <v>平成</v>
          </cell>
          <cell r="S1032">
            <v>11</v>
          </cell>
          <cell r="T1032">
            <v>3</v>
          </cell>
          <cell r="AB1032">
            <v>500</v>
          </cell>
          <cell r="AC1032" t="str">
            <v>富士川</v>
          </cell>
          <cell r="AD1032" t="str">
            <v>ＡＡ</v>
          </cell>
          <cell r="AE1032" t="str">
            <v>イ</v>
          </cell>
          <cell r="AF1032">
            <v>15</v>
          </cell>
          <cell r="AI1032" t="str">
            <v>鹿の沢川</v>
          </cell>
          <cell r="AK1032" t="str">
            <v>釜無川</v>
          </cell>
          <cell r="AN1032">
            <v>50.2</v>
          </cell>
          <cell r="AO1032" t="str">
            <v>市川三郷町</v>
          </cell>
          <cell r="AQ1032" t="str">
            <v/>
          </cell>
          <cell r="AR1032" t="str">
            <v>オキシディションディッチ法</v>
          </cell>
          <cell r="AS1032" t="str">
            <v>2036201002</v>
          </cell>
          <cell r="AT1032" t="str">
            <v/>
          </cell>
          <cell r="AU1032" t="str">
            <v>10</v>
          </cell>
          <cell r="AV1032" t="str">
            <v>10</v>
          </cell>
          <cell r="AW1032">
            <v>0</v>
          </cell>
          <cell r="AX1032">
            <v>0</v>
          </cell>
          <cell r="AY1032">
            <v>0</v>
          </cell>
          <cell r="AZ1032">
            <v>0</v>
          </cell>
          <cell r="BA1032">
            <v>0</v>
          </cell>
          <cell r="BD1032" t="str">
            <v/>
          </cell>
          <cell r="BE1032">
            <v>1</v>
          </cell>
          <cell r="BG1032" t="str">
            <v>1100</v>
          </cell>
        </row>
        <row r="1033">
          <cell r="B1033" t="str">
            <v>G203820106100100</v>
          </cell>
          <cell r="C1033" t="str">
            <v>20.長野県</v>
          </cell>
          <cell r="D1033" t="str">
            <v>382</v>
          </cell>
          <cell r="E1033" t="str">
            <v>辰野町</v>
          </cell>
          <cell r="F1033" t="str">
            <v>01</v>
          </cell>
          <cell r="G1033" t="str">
            <v>公共 単独</v>
          </cell>
          <cell r="H1033" t="str">
            <v>公共下水道</v>
          </cell>
          <cell r="I1033" t="str">
            <v>単独</v>
          </cell>
          <cell r="J1033" t="str">
            <v>001</v>
          </cell>
          <cell r="K1033" t="str">
            <v>辰野水処理センター</v>
          </cell>
          <cell r="M1033" t="str">
            <v>1</v>
          </cell>
          <cell r="N1033" t="str">
            <v>1</v>
          </cell>
          <cell r="Q1033">
            <v>33664</v>
          </cell>
          <cell r="R1033" t="str">
            <v>平成</v>
          </cell>
          <cell r="S1033">
            <v>4</v>
          </cell>
          <cell r="T1033">
            <v>3</v>
          </cell>
          <cell r="AB1033">
            <v>31263</v>
          </cell>
          <cell r="AC1033" t="str">
            <v>天竜川(1)</v>
          </cell>
          <cell r="AD1033" t="str">
            <v>Ｂ</v>
          </cell>
          <cell r="AE1033" t="str">
            <v>ロ</v>
          </cell>
          <cell r="AF1033">
            <v>15</v>
          </cell>
          <cell r="AK1033" t="str">
            <v>天竜川</v>
          </cell>
          <cell r="AL1033" t="str">
            <v>秋葉ダム</v>
          </cell>
          <cell r="AN1033">
            <v>110</v>
          </cell>
          <cell r="AO1033" t="str">
            <v>浜松市</v>
          </cell>
          <cell r="AP1033" t="str">
            <v>公共関連特環を含む</v>
          </cell>
          <cell r="AQ1033" t="str">
            <v/>
          </cell>
          <cell r="AR1033" t="str">
            <v>オキシディションディッチ法</v>
          </cell>
          <cell r="AS1033" t="str">
            <v>2038201001</v>
          </cell>
          <cell r="AT1033" t="str">
            <v/>
          </cell>
          <cell r="AU1033" t="str">
            <v>10</v>
          </cell>
          <cell r="AV1033" t="str">
            <v>10</v>
          </cell>
          <cell r="AW1033">
            <v>0</v>
          </cell>
          <cell r="AX1033">
            <v>0</v>
          </cell>
          <cell r="AY1033">
            <v>0</v>
          </cell>
          <cell r="AZ1033">
            <v>0</v>
          </cell>
          <cell r="BA1033">
            <v>0</v>
          </cell>
          <cell r="BD1033" t="str">
            <v/>
          </cell>
          <cell r="BE1033">
            <v>1</v>
          </cell>
          <cell r="BG1033" t="str">
            <v>1100</v>
          </cell>
        </row>
        <row r="1034">
          <cell r="B1034" t="str">
            <v>G203820206100200</v>
          </cell>
          <cell r="C1034" t="str">
            <v>20.長野県</v>
          </cell>
          <cell r="D1034" t="str">
            <v>382</v>
          </cell>
          <cell r="E1034" t="str">
            <v>辰野町</v>
          </cell>
          <cell r="F1034" t="str">
            <v>02</v>
          </cell>
          <cell r="G1034" t="str">
            <v>特環 単独</v>
          </cell>
          <cell r="H1034" t="str">
            <v>特定環境保全公共下水道</v>
          </cell>
          <cell r="I1034" t="str">
            <v>単独</v>
          </cell>
          <cell r="J1034" t="str">
            <v>002</v>
          </cell>
          <cell r="K1034" t="str">
            <v>小野水処理センター</v>
          </cell>
          <cell r="M1034" t="str">
            <v>1</v>
          </cell>
          <cell r="N1034" t="str">
            <v>1</v>
          </cell>
          <cell r="Q1034">
            <v>35462</v>
          </cell>
          <cell r="R1034" t="str">
            <v>平成</v>
          </cell>
          <cell r="S1034">
            <v>9</v>
          </cell>
          <cell r="T1034">
            <v>2</v>
          </cell>
          <cell r="AB1034">
            <v>8417</v>
          </cell>
          <cell r="AC1034" t="str">
            <v>設定なし</v>
          </cell>
          <cell r="AF1034">
            <v>15</v>
          </cell>
          <cell r="AK1034" t="str">
            <v>小野川</v>
          </cell>
          <cell r="AL1034" t="str">
            <v>秋葉ダム</v>
          </cell>
          <cell r="AN1034">
            <v>115</v>
          </cell>
          <cell r="AO1034" t="str">
            <v>浜松市</v>
          </cell>
          <cell r="AQ1034" t="str">
            <v/>
          </cell>
          <cell r="AR1034" t="str">
            <v>オキシディションディッチ法</v>
          </cell>
          <cell r="AS1034" t="str">
            <v>2038202002</v>
          </cell>
          <cell r="AT1034" t="str">
            <v/>
          </cell>
          <cell r="AU1034" t="str">
            <v>10</v>
          </cell>
          <cell r="AV1034" t="str">
            <v>10</v>
          </cell>
          <cell r="AW1034">
            <v>0</v>
          </cell>
          <cell r="AX1034">
            <v>0</v>
          </cell>
          <cell r="AY1034">
            <v>0</v>
          </cell>
          <cell r="AZ1034">
            <v>0</v>
          </cell>
          <cell r="BA1034">
            <v>0</v>
          </cell>
          <cell r="BD1034" t="str">
            <v/>
          </cell>
          <cell r="BE1034">
            <v>1</v>
          </cell>
          <cell r="BG1034" t="str">
            <v>1100</v>
          </cell>
        </row>
        <row r="1035">
          <cell r="B1035" t="str">
            <v>G203830106100100</v>
          </cell>
          <cell r="C1035" t="str">
            <v>20.長野県</v>
          </cell>
          <cell r="D1035" t="str">
            <v>383</v>
          </cell>
          <cell r="E1035" t="str">
            <v>箕輪町</v>
          </cell>
          <cell r="F1035" t="str">
            <v>01</v>
          </cell>
          <cell r="G1035" t="str">
            <v>公共 単独</v>
          </cell>
          <cell r="H1035" t="str">
            <v>公共下水道</v>
          </cell>
          <cell r="I1035" t="str">
            <v>単独</v>
          </cell>
          <cell r="J1035" t="str">
            <v>001</v>
          </cell>
          <cell r="K1035" t="str">
            <v>箕輪浄水苑</v>
          </cell>
          <cell r="M1035" t="str">
            <v>1</v>
          </cell>
          <cell r="N1035" t="str">
            <v>1</v>
          </cell>
          <cell r="Q1035">
            <v>34394</v>
          </cell>
          <cell r="R1035" t="str">
            <v>平成</v>
          </cell>
          <cell r="S1035">
            <v>6</v>
          </cell>
          <cell r="T1035">
            <v>3</v>
          </cell>
          <cell r="AB1035">
            <v>25742</v>
          </cell>
          <cell r="AC1035" t="str">
            <v>天竜川（１）</v>
          </cell>
          <cell r="AD1035" t="str">
            <v>Ｂ</v>
          </cell>
          <cell r="AE1035" t="str">
            <v>ロ</v>
          </cell>
          <cell r="AF1035">
            <v>15</v>
          </cell>
          <cell r="AI1035" t="str">
            <v>木下１号雨水幹線</v>
          </cell>
          <cell r="AK1035" t="str">
            <v>天竜川</v>
          </cell>
          <cell r="AQ1035" t="str">
            <v/>
          </cell>
          <cell r="AR1035" t="str">
            <v>オキシディションディッチ法</v>
          </cell>
          <cell r="AS1035" t="str">
            <v>2038301001</v>
          </cell>
          <cell r="AT1035" t="str">
            <v/>
          </cell>
          <cell r="AU1035" t="str">
            <v>10</v>
          </cell>
          <cell r="AV1035" t="str">
            <v>10</v>
          </cell>
          <cell r="AW1035">
            <v>0</v>
          </cell>
          <cell r="AX1035">
            <v>0</v>
          </cell>
          <cell r="AY1035">
            <v>0</v>
          </cell>
          <cell r="AZ1035">
            <v>0</v>
          </cell>
          <cell r="BA1035">
            <v>0</v>
          </cell>
          <cell r="BD1035" t="str">
            <v/>
          </cell>
          <cell r="BE1035">
            <v>1</v>
          </cell>
          <cell r="BG1035" t="str">
            <v>1100</v>
          </cell>
        </row>
        <row r="1036">
          <cell r="B1036" t="str">
            <v>G203840106100100</v>
          </cell>
          <cell r="C1036" t="str">
            <v>20.長野県</v>
          </cell>
          <cell r="D1036" t="str">
            <v>384</v>
          </cell>
          <cell r="E1036" t="str">
            <v>飯島町</v>
          </cell>
          <cell r="F1036" t="str">
            <v>01</v>
          </cell>
          <cell r="G1036" t="str">
            <v>公共 単独</v>
          </cell>
          <cell r="H1036" t="str">
            <v>公共下水道</v>
          </cell>
          <cell r="I1036" t="str">
            <v>単独</v>
          </cell>
          <cell r="J1036" t="str">
            <v>001</v>
          </cell>
          <cell r="K1036" t="str">
            <v>飯島浄化センター</v>
          </cell>
          <cell r="M1036" t="str">
            <v>1</v>
          </cell>
          <cell r="N1036" t="str">
            <v>1</v>
          </cell>
          <cell r="Q1036">
            <v>36617</v>
          </cell>
          <cell r="R1036" t="str">
            <v>平成</v>
          </cell>
          <cell r="S1036">
            <v>12</v>
          </cell>
          <cell r="T1036">
            <v>4</v>
          </cell>
          <cell r="AB1036">
            <v>13400</v>
          </cell>
          <cell r="AC1036" t="str">
            <v>天竜川</v>
          </cell>
          <cell r="AD1036" t="str">
            <v>Ａ</v>
          </cell>
          <cell r="AE1036" t="str">
            <v>ロ</v>
          </cell>
          <cell r="AF1036">
            <v>15</v>
          </cell>
          <cell r="AI1036" t="str">
            <v>社宮寺川</v>
          </cell>
          <cell r="AK1036" t="str">
            <v>天竜川</v>
          </cell>
          <cell r="AQ1036" t="str">
            <v/>
          </cell>
          <cell r="AR1036" t="str">
            <v>オキシディションディッチ法</v>
          </cell>
          <cell r="AS1036" t="str">
            <v>2038401001</v>
          </cell>
          <cell r="AT1036" t="str">
            <v/>
          </cell>
          <cell r="AU1036" t="str">
            <v>10</v>
          </cell>
          <cell r="AV1036" t="str">
            <v>10</v>
          </cell>
          <cell r="AW1036">
            <v>0</v>
          </cell>
          <cell r="AX1036">
            <v>0</v>
          </cell>
          <cell r="AY1036">
            <v>0</v>
          </cell>
          <cell r="AZ1036">
            <v>0</v>
          </cell>
          <cell r="BA1036">
            <v>0</v>
          </cell>
          <cell r="BD1036" t="str">
            <v/>
          </cell>
          <cell r="BE1036">
            <v>1</v>
          </cell>
          <cell r="BG1036" t="str">
            <v>1100</v>
          </cell>
        </row>
        <row r="1037">
          <cell r="B1037" t="str">
            <v>G203840106100200</v>
          </cell>
          <cell r="C1037" t="str">
            <v>20.長野県</v>
          </cell>
          <cell r="D1037" t="str">
            <v>384</v>
          </cell>
          <cell r="E1037" t="str">
            <v>飯島町</v>
          </cell>
          <cell r="F1037" t="str">
            <v>01</v>
          </cell>
          <cell r="G1037" t="str">
            <v>公共 単独</v>
          </cell>
          <cell r="H1037" t="str">
            <v>公共下水道</v>
          </cell>
          <cell r="I1037" t="str">
            <v>単独</v>
          </cell>
          <cell r="J1037" t="str">
            <v>002</v>
          </cell>
          <cell r="K1037" t="str">
            <v>七久保浄化センター</v>
          </cell>
          <cell r="M1037" t="str">
            <v>1</v>
          </cell>
          <cell r="N1037" t="str">
            <v>1</v>
          </cell>
          <cell r="Q1037">
            <v>39539</v>
          </cell>
          <cell r="R1037" t="str">
            <v>平成</v>
          </cell>
          <cell r="S1037">
            <v>20</v>
          </cell>
          <cell r="T1037">
            <v>4</v>
          </cell>
          <cell r="AB1037">
            <v>3100</v>
          </cell>
          <cell r="AC1037" t="str">
            <v>天竜川</v>
          </cell>
          <cell r="AD1037" t="str">
            <v>Ａ</v>
          </cell>
          <cell r="AE1037" t="str">
            <v>ロ</v>
          </cell>
          <cell r="AF1037">
            <v>15</v>
          </cell>
          <cell r="AI1037" t="str">
            <v>うなぎ沢川</v>
          </cell>
          <cell r="AK1037" t="str">
            <v>天竜川</v>
          </cell>
          <cell r="AQ1037" t="str">
            <v/>
          </cell>
          <cell r="AR1037" t="str">
            <v>オキシディションディッチ法</v>
          </cell>
          <cell r="AS1037" t="str">
            <v>2038401002</v>
          </cell>
          <cell r="AT1037" t="str">
            <v/>
          </cell>
          <cell r="AU1037" t="str">
            <v>10</v>
          </cell>
          <cell r="AV1037" t="str">
            <v>10</v>
          </cell>
          <cell r="AW1037">
            <v>0</v>
          </cell>
          <cell r="AX1037">
            <v>0</v>
          </cell>
          <cell r="AY1037">
            <v>0</v>
          </cell>
          <cell r="AZ1037">
            <v>0</v>
          </cell>
          <cell r="BA1037">
            <v>0</v>
          </cell>
          <cell r="BD1037" t="str">
            <v/>
          </cell>
          <cell r="BE1037">
            <v>1</v>
          </cell>
          <cell r="BG1037" t="str">
            <v>1100</v>
          </cell>
        </row>
        <row r="1038">
          <cell r="B1038" t="str">
            <v>G203850106100100</v>
          </cell>
          <cell r="C1038" t="str">
            <v>20.長野県</v>
          </cell>
          <cell r="D1038" t="str">
            <v>385</v>
          </cell>
          <cell r="E1038" t="str">
            <v>南箕輪村</v>
          </cell>
          <cell r="F1038" t="str">
            <v>01</v>
          </cell>
          <cell r="G1038" t="str">
            <v>公共 単独</v>
          </cell>
          <cell r="H1038" t="str">
            <v>公共下水道</v>
          </cell>
          <cell r="I1038" t="str">
            <v>単独</v>
          </cell>
          <cell r="J1038" t="str">
            <v>001</v>
          </cell>
          <cell r="K1038" t="str">
            <v>南箕輪浄化センター</v>
          </cell>
          <cell r="M1038" t="str">
            <v>1</v>
          </cell>
          <cell r="N1038" t="str">
            <v>1</v>
          </cell>
          <cell r="Q1038">
            <v>35490</v>
          </cell>
          <cell r="R1038" t="str">
            <v>平成</v>
          </cell>
          <cell r="S1038">
            <v>9</v>
          </cell>
          <cell r="T1038">
            <v>3</v>
          </cell>
          <cell r="AB1038">
            <v>18200</v>
          </cell>
          <cell r="AC1038" t="str">
            <v>天竜川</v>
          </cell>
          <cell r="AF1038">
            <v>15</v>
          </cell>
          <cell r="AI1038" t="str">
            <v>旧県営２号排水路</v>
          </cell>
          <cell r="AK1038" t="str">
            <v>天竜川</v>
          </cell>
          <cell r="AQ1038" t="str">
            <v/>
          </cell>
          <cell r="AR1038" t="str">
            <v>オキシディションディッチ法</v>
          </cell>
          <cell r="AS1038" t="str">
            <v>2038501001</v>
          </cell>
          <cell r="AT1038" t="str">
            <v/>
          </cell>
          <cell r="AU1038" t="str">
            <v>10</v>
          </cell>
          <cell r="AV1038" t="str">
            <v>10</v>
          </cell>
          <cell r="AW1038">
            <v>0</v>
          </cell>
          <cell r="AX1038">
            <v>0</v>
          </cell>
          <cell r="AY1038">
            <v>0</v>
          </cell>
          <cell r="AZ1038">
            <v>0</v>
          </cell>
          <cell r="BA1038">
            <v>0</v>
          </cell>
          <cell r="BD1038" t="str">
            <v/>
          </cell>
          <cell r="BE1038">
            <v>1</v>
          </cell>
          <cell r="BG1038" t="str">
            <v>1100</v>
          </cell>
        </row>
        <row r="1039">
          <cell r="B1039" t="str">
            <v>G203860106100100</v>
          </cell>
          <cell r="C1039" t="str">
            <v>20.長野県</v>
          </cell>
          <cell r="D1039" t="str">
            <v>386</v>
          </cell>
          <cell r="E1039" t="str">
            <v>中川村</v>
          </cell>
          <cell r="F1039" t="str">
            <v>01</v>
          </cell>
          <cell r="G1039" t="str">
            <v>公共 単独</v>
          </cell>
          <cell r="H1039" t="str">
            <v>公共下水道</v>
          </cell>
          <cell r="I1039" t="str">
            <v>単独</v>
          </cell>
          <cell r="J1039" t="str">
            <v>001</v>
          </cell>
          <cell r="K1039" t="str">
            <v>大草浄化センター</v>
          </cell>
          <cell r="M1039" t="str">
            <v>1</v>
          </cell>
          <cell r="N1039" t="str">
            <v>1</v>
          </cell>
          <cell r="Q1039">
            <v>35521</v>
          </cell>
          <cell r="R1039" t="str">
            <v>平成</v>
          </cell>
          <cell r="S1039">
            <v>9</v>
          </cell>
          <cell r="T1039">
            <v>4</v>
          </cell>
          <cell r="AB1039">
            <v>1910</v>
          </cell>
          <cell r="AC1039" t="str">
            <v>天竜川（2）</v>
          </cell>
          <cell r="AD1039" t="str">
            <v>Ａ</v>
          </cell>
          <cell r="AE1039" t="str">
            <v>ロ</v>
          </cell>
          <cell r="AK1039" t="str">
            <v>天竜川</v>
          </cell>
          <cell r="AL1039" t="str">
            <v>秋葉ダム</v>
          </cell>
          <cell r="AN1039">
            <v>100</v>
          </cell>
          <cell r="AO1039" t="str">
            <v>浜松市</v>
          </cell>
          <cell r="AQ1039" t="str">
            <v/>
          </cell>
          <cell r="AR1039" t="str">
            <v>オキシディションディッチ法</v>
          </cell>
          <cell r="AS1039" t="str">
            <v>2038601001</v>
          </cell>
          <cell r="AT1039" t="str">
            <v/>
          </cell>
          <cell r="AU1039" t="str">
            <v>10</v>
          </cell>
          <cell r="AV1039" t="str">
            <v>10</v>
          </cell>
          <cell r="AW1039">
            <v>0</v>
          </cell>
          <cell r="AX1039">
            <v>0</v>
          </cell>
          <cell r="AY1039">
            <v>0</v>
          </cell>
          <cell r="AZ1039">
            <v>0</v>
          </cell>
          <cell r="BA1039">
            <v>0</v>
          </cell>
          <cell r="BD1039" t="str">
            <v/>
          </cell>
          <cell r="BE1039">
            <v>1</v>
          </cell>
          <cell r="BG1039" t="str">
            <v>1100</v>
          </cell>
        </row>
        <row r="1040">
          <cell r="B1040" t="str">
            <v>G203860106100200</v>
          </cell>
          <cell r="C1040" t="str">
            <v>20.長野県</v>
          </cell>
          <cell r="D1040" t="str">
            <v>386</v>
          </cell>
          <cell r="E1040" t="str">
            <v>中川村</v>
          </cell>
          <cell r="F1040" t="str">
            <v>01</v>
          </cell>
          <cell r="G1040" t="str">
            <v>公共 単独</v>
          </cell>
          <cell r="H1040" t="str">
            <v>公共下水道</v>
          </cell>
          <cell r="I1040" t="str">
            <v>単独</v>
          </cell>
          <cell r="J1040" t="str">
            <v>002</v>
          </cell>
          <cell r="K1040" t="str">
            <v>片桐浄化センター</v>
          </cell>
          <cell r="M1040" t="str">
            <v>1</v>
          </cell>
          <cell r="N1040" t="str">
            <v>1</v>
          </cell>
          <cell r="Q1040">
            <v>37653</v>
          </cell>
          <cell r="R1040" t="str">
            <v>平成</v>
          </cell>
          <cell r="S1040">
            <v>15</v>
          </cell>
          <cell r="T1040">
            <v>2</v>
          </cell>
          <cell r="AB1040">
            <v>4323</v>
          </cell>
          <cell r="AC1040" t="str">
            <v>天竜川（2）</v>
          </cell>
          <cell r="AD1040" t="str">
            <v>Ａ</v>
          </cell>
          <cell r="AE1040" t="str">
            <v>ロ</v>
          </cell>
          <cell r="AK1040" t="str">
            <v>天竜川</v>
          </cell>
          <cell r="AL1040" t="str">
            <v>秋葉ダム</v>
          </cell>
          <cell r="AN1040">
            <v>100</v>
          </cell>
          <cell r="AO1040" t="str">
            <v>浜松市</v>
          </cell>
          <cell r="AQ1040" t="str">
            <v/>
          </cell>
          <cell r="AR1040" t="str">
            <v>オキシディションディッチ法</v>
          </cell>
          <cell r="AS1040" t="str">
            <v>2038601002</v>
          </cell>
          <cell r="AT1040" t="str">
            <v/>
          </cell>
          <cell r="AU1040" t="str">
            <v>10</v>
          </cell>
          <cell r="AV1040" t="str">
            <v>10</v>
          </cell>
          <cell r="AW1040">
            <v>0</v>
          </cell>
          <cell r="AX1040">
            <v>0</v>
          </cell>
          <cell r="AY1040">
            <v>0</v>
          </cell>
          <cell r="AZ1040">
            <v>0</v>
          </cell>
          <cell r="BA1040">
            <v>0</v>
          </cell>
          <cell r="BD1040" t="str">
            <v/>
          </cell>
          <cell r="BE1040">
            <v>1</v>
          </cell>
          <cell r="BG1040" t="str">
            <v>1100</v>
          </cell>
        </row>
        <row r="1041">
          <cell r="B1041" t="str">
            <v>G203880106100100</v>
          </cell>
          <cell r="C1041" t="str">
            <v>20.長野県</v>
          </cell>
          <cell r="D1041" t="str">
            <v>388</v>
          </cell>
          <cell r="E1041" t="str">
            <v>宮田村</v>
          </cell>
          <cell r="F1041" t="str">
            <v>01</v>
          </cell>
          <cell r="G1041" t="str">
            <v>公共 単独</v>
          </cell>
          <cell r="H1041" t="str">
            <v>公共下水道</v>
          </cell>
          <cell r="I1041" t="str">
            <v>単独</v>
          </cell>
          <cell r="J1041" t="str">
            <v>001</v>
          </cell>
          <cell r="K1041" t="str">
            <v>宮田アクアランド</v>
          </cell>
          <cell r="M1041" t="str">
            <v>1</v>
          </cell>
          <cell r="N1041" t="str">
            <v>1</v>
          </cell>
          <cell r="Q1041">
            <v>33909</v>
          </cell>
          <cell r="R1041" t="str">
            <v>平成</v>
          </cell>
          <cell r="S1041">
            <v>4</v>
          </cell>
          <cell r="T1041">
            <v>11</v>
          </cell>
          <cell r="AB1041">
            <v>8619</v>
          </cell>
          <cell r="AC1041" t="str">
            <v>天竜川（２）</v>
          </cell>
          <cell r="AD1041" t="str">
            <v>Ａ</v>
          </cell>
          <cell r="AE1041" t="str">
            <v>ロ</v>
          </cell>
          <cell r="AF1041">
            <v>15</v>
          </cell>
          <cell r="AK1041" t="str">
            <v>小田切川</v>
          </cell>
          <cell r="AQ1041" t="str">
            <v/>
          </cell>
          <cell r="AR1041" t="str">
            <v>オキシディションディッチ法</v>
          </cell>
          <cell r="AS1041" t="str">
            <v>2038801001</v>
          </cell>
          <cell r="AT1041" t="str">
            <v/>
          </cell>
          <cell r="AU1041" t="str">
            <v>10</v>
          </cell>
          <cell r="AV1041" t="str">
            <v>10</v>
          </cell>
          <cell r="AW1041">
            <v>0</v>
          </cell>
          <cell r="AX1041">
            <v>0</v>
          </cell>
          <cell r="AY1041">
            <v>0</v>
          </cell>
          <cell r="AZ1041">
            <v>0</v>
          </cell>
          <cell r="BA1041">
            <v>0</v>
          </cell>
          <cell r="BD1041" t="str">
            <v/>
          </cell>
          <cell r="BE1041">
            <v>1</v>
          </cell>
          <cell r="BG1041" t="str">
            <v>1100</v>
          </cell>
        </row>
        <row r="1042">
          <cell r="B1042" t="str">
            <v>G204020106100100</v>
          </cell>
          <cell r="C1042" t="str">
            <v>20.長野県</v>
          </cell>
          <cell r="D1042" t="str">
            <v>402</v>
          </cell>
          <cell r="E1042" t="str">
            <v>松川町</v>
          </cell>
          <cell r="F1042" t="str">
            <v>01</v>
          </cell>
          <cell r="G1042" t="str">
            <v>公共 単独</v>
          </cell>
          <cell r="H1042" t="str">
            <v>公共下水道</v>
          </cell>
          <cell r="I1042" t="str">
            <v>単独</v>
          </cell>
          <cell r="J1042" t="str">
            <v>001</v>
          </cell>
          <cell r="K1042" t="str">
            <v>松川浄化センター</v>
          </cell>
          <cell r="M1042" t="str">
            <v>1</v>
          </cell>
          <cell r="N1042" t="str">
            <v>1</v>
          </cell>
          <cell r="Q1042">
            <v>35886</v>
          </cell>
          <cell r="R1042" t="str">
            <v>平成</v>
          </cell>
          <cell r="S1042">
            <v>10</v>
          </cell>
          <cell r="T1042">
            <v>4</v>
          </cell>
          <cell r="AB1042">
            <v>14066</v>
          </cell>
          <cell r="AC1042" t="str">
            <v>天竜川(3)</v>
          </cell>
          <cell r="AD1042" t="str">
            <v>Ａ</v>
          </cell>
          <cell r="AE1042" t="str">
            <v>イ</v>
          </cell>
          <cell r="AF1042">
            <v>15</v>
          </cell>
          <cell r="AK1042" t="str">
            <v>野岩川・天竜川</v>
          </cell>
          <cell r="AL1042" t="str">
            <v>佐久ダム間</v>
          </cell>
          <cell r="AN1042">
            <v>95</v>
          </cell>
          <cell r="AO1042" t="str">
            <v>浜松市</v>
          </cell>
          <cell r="AQ1042" t="str">
            <v/>
          </cell>
          <cell r="AR1042" t="str">
            <v>オキシディションディッチ法</v>
          </cell>
          <cell r="AS1042" t="str">
            <v>2040201001</v>
          </cell>
          <cell r="AT1042" t="str">
            <v/>
          </cell>
          <cell r="AU1042" t="str">
            <v>10</v>
          </cell>
          <cell r="AV1042" t="str">
            <v>10</v>
          </cell>
          <cell r="AW1042">
            <v>0</v>
          </cell>
          <cell r="AX1042">
            <v>0</v>
          </cell>
          <cell r="AY1042">
            <v>0</v>
          </cell>
          <cell r="AZ1042">
            <v>0</v>
          </cell>
          <cell r="BA1042">
            <v>0</v>
          </cell>
          <cell r="BD1042" t="str">
            <v/>
          </cell>
          <cell r="BE1042">
            <v>1</v>
          </cell>
          <cell r="BG1042" t="str">
            <v>1100</v>
          </cell>
        </row>
        <row r="1043">
          <cell r="B1043" t="str">
            <v>G204030106100100</v>
          </cell>
          <cell r="C1043" t="str">
            <v>20.長野県</v>
          </cell>
          <cell r="D1043" t="str">
            <v>403</v>
          </cell>
          <cell r="E1043" t="str">
            <v>高森町</v>
          </cell>
          <cell r="F1043" t="str">
            <v>01</v>
          </cell>
          <cell r="G1043" t="str">
            <v>公共 単独</v>
          </cell>
          <cell r="H1043" t="str">
            <v>公共下水道</v>
          </cell>
          <cell r="I1043" t="str">
            <v>単独</v>
          </cell>
          <cell r="J1043" t="str">
            <v>001</v>
          </cell>
          <cell r="K1043" t="str">
            <v>高森浄化センター</v>
          </cell>
          <cell r="M1043" t="str">
            <v>1</v>
          </cell>
          <cell r="N1043" t="str">
            <v>1</v>
          </cell>
          <cell r="Q1043">
            <v>36739</v>
          </cell>
          <cell r="R1043" t="str">
            <v>平成</v>
          </cell>
          <cell r="S1043">
            <v>12</v>
          </cell>
          <cell r="T1043">
            <v>8</v>
          </cell>
          <cell r="AB1043">
            <v>24000</v>
          </cell>
          <cell r="AC1043" t="str">
            <v>天竜川水系（3）</v>
          </cell>
          <cell r="AD1043" t="str">
            <v>Ａ</v>
          </cell>
          <cell r="AE1043" t="str">
            <v>イ</v>
          </cell>
          <cell r="AF1043">
            <v>15</v>
          </cell>
          <cell r="AK1043" t="str">
            <v>南大島川</v>
          </cell>
          <cell r="AQ1043" t="str">
            <v/>
          </cell>
          <cell r="AR1043" t="str">
            <v>オキシディションディッチ法</v>
          </cell>
          <cell r="AS1043" t="str">
            <v>2040301001</v>
          </cell>
          <cell r="AT1043" t="str">
            <v/>
          </cell>
          <cell r="AU1043" t="str">
            <v>10</v>
          </cell>
          <cell r="AV1043" t="str">
            <v>10</v>
          </cell>
          <cell r="AW1043">
            <v>0</v>
          </cell>
          <cell r="AX1043">
            <v>0</v>
          </cell>
          <cell r="AY1043">
            <v>0</v>
          </cell>
          <cell r="AZ1043">
            <v>0</v>
          </cell>
          <cell r="BA1043">
            <v>0</v>
          </cell>
          <cell r="BD1043" t="str">
            <v/>
          </cell>
          <cell r="BE1043">
            <v>1</v>
          </cell>
          <cell r="BG1043" t="str">
            <v>1100</v>
          </cell>
        </row>
        <row r="1044">
          <cell r="B1044" t="str">
            <v>G204070206100100</v>
          </cell>
          <cell r="C1044" t="str">
            <v>20.長野県</v>
          </cell>
          <cell r="D1044" t="str">
            <v>407</v>
          </cell>
          <cell r="E1044" t="str">
            <v>阿智村</v>
          </cell>
          <cell r="F1044" t="str">
            <v>02</v>
          </cell>
          <cell r="G1044" t="str">
            <v>特環 単独</v>
          </cell>
          <cell r="H1044" t="str">
            <v>特定環境保全公共下水道</v>
          </cell>
          <cell r="I1044" t="str">
            <v>単独</v>
          </cell>
          <cell r="J1044" t="str">
            <v>001</v>
          </cell>
          <cell r="K1044" t="str">
            <v>昼神浄化センター</v>
          </cell>
          <cell r="M1044" t="str">
            <v>1</v>
          </cell>
          <cell r="N1044" t="str">
            <v>1</v>
          </cell>
          <cell r="Q1044">
            <v>35490</v>
          </cell>
          <cell r="R1044" t="str">
            <v>平成</v>
          </cell>
          <cell r="S1044">
            <v>9</v>
          </cell>
          <cell r="T1044">
            <v>3</v>
          </cell>
          <cell r="AB1044">
            <v>9770</v>
          </cell>
          <cell r="AC1044" t="str">
            <v>天竜川</v>
          </cell>
          <cell r="AD1044" t="str">
            <v>ＡＡ</v>
          </cell>
          <cell r="AE1044" t="str">
            <v>イ</v>
          </cell>
          <cell r="AF1044">
            <v>15</v>
          </cell>
          <cell r="AK1044" t="str">
            <v>阿智川</v>
          </cell>
          <cell r="AQ1044" t="str">
            <v/>
          </cell>
          <cell r="AR1044" t="str">
            <v>回分式活性汚泥法</v>
          </cell>
          <cell r="AS1044" t="str">
            <v>2040702001</v>
          </cell>
          <cell r="AT1044" t="str">
            <v/>
          </cell>
          <cell r="AU1044" t="str">
            <v>10</v>
          </cell>
          <cell r="AV1044" t="str">
            <v>10</v>
          </cell>
          <cell r="AW1044">
            <v>0</v>
          </cell>
          <cell r="AX1044">
            <v>0</v>
          </cell>
          <cell r="AY1044">
            <v>0</v>
          </cell>
          <cell r="AZ1044">
            <v>0</v>
          </cell>
          <cell r="BA1044">
            <v>0</v>
          </cell>
          <cell r="BD1044" t="str">
            <v/>
          </cell>
          <cell r="BE1044">
            <v>1</v>
          </cell>
          <cell r="BG1044" t="str">
            <v>1100</v>
          </cell>
        </row>
        <row r="1045">
          <cell r="B1045" t="str">
            <v>G204070206100200</v>
          </cell>
          <cell r="C1045" t="str">
            <v>20.長野県</v>
          </cell>
          <cell r="D1045" t="str">
            <v>407</v>
          </cell>
          <cell r="E1045" t="str">
            <v>阿智村</v>
          </cell>
          <cell r="F1045" t="str">
            <v>02</v>
          </cell>
          <cell r="G1045" t="str">
            <v>特環 単独</v>
          </cell>
          <cell r="H1045" t="str">
            <v>特定環境保全公共下水道</v>
          </cell>
          <cell r="I1045" t="str">
            <v>単独</v>
          </cell>
          <cell r="J1045" t="str">
            <v>002</v>
          </cell>
          <cell r="K1045" t="str">
            <v>会地浄化センター</v>
          </cell>
          <cell r="M1045" t="str">
            <v>1</v>
          </cell>
          <cell r="N1045" t="str">
            <v>1</v>
          </cell>
          <cell r="Q1045">
            <v>37347</v>
          </cell>
          <cell r="R1045" t="str">
            <v>平成</v>
          </cell>
          <cell r="S1045">
            <v>14</v>
          </cell>
          <cell r="T1045">
            <v>4</v>
          </cell>
          <cell r="AB1045">
            <v>7542</v>
          </cell>
          <cell r="AC1045" t="str">
            <v>天竜川</v>
          </cell>
          <cell r="AD1045" t="str">
            <v>ＡＡ</v>
          </cell>
          <cell r="AE1045" t="str">
            <v>イ</v>
          </cell>
          <cell r="AF1045">
            <v>15</v>
          </cell>
          <cell r="AK1045" t="str">
            <v>阿智川</v>
          </cell>
          <cell r="AQ1045" t="str">
            <v/>
          </cell>
          <cell r="AR1045" t="str">
            <v>長時間エアレーション法</v>
          </cell>
          <cell r="AS1045" t="str">
            <v>2040702002</v>
          </cell>
          <cell r="AT1045" t="str">
            <v/>
          </cell>
          <cell r="AU1045" t="str">
            <v>10</v>
          </cell>
          <cell r="AV1045" t="str">
            <v>10</v>
          </cell>
          <cell r="AW1045">
            <v>0</v>
          </cell>
          <cell r="AX1045">
            <v>0</v>
          </cell>
          <cell r="AY1045">
            <v>0</v>
          </cell>
          <cell r="AZ1045">
            <v>0</v>
          </cell>
          <cell r="BA1045">
            <v>0</v>
          </cell>
          <cell r="BD1045" t="str">
            <v/>
          </cell>
          <cell r="BE1045">
            <v>1</v>
          </cell>
          <cell r="BG1045" t="str">
            <v>1100</v>
          </cell>
        </row>
        <row r="1046">
          <cell r="B1046" t="str">
            <v>G204130206100100</v>
          </cell>
          <cell r="C1046" t="str">
            <v>20.長野県</v>
          </cell>
          <cell r="D1046" t="str">
            <v>413</v>
          </cell>
          <cell r="E1046" t="str">
            <v>天龍村</v>
          </cell>
          <cell r="F1046" t="str">
            <v>02</v>
          </cell>
          <cell r="G1046" t="str">
            <v>特環 単独</v>
          </cell>
          <cell r="H1046" t="str">
            <v>特定環境保全公共下水道</v>
          </cell>
          <cell r="I1046" t="str">
            <v>単独</v>
          </cell>
          <cell r="J1046" t="str">
            <v>001</v>
          </cell>
          <cell r="K1046" t="str">
            <v>樫淵クリーンセンター</v>
          </cell>
          <cell r="M1046" t="str">
            <v>1</v>
          </cell>
          <cell r="N1046" t="str">
            <v>1</v>
          </cell>
          <cell r="Q1046">
            <v>36951</v>
          </cell>
          <cell r="R1046" t="str">
            <v>平成</v>
          </cell>
          <cell r="S1046">
            <v>13</v>
          </cell>
          <cell r="T1046">
            <v>3</v>
          </cell>
          <cell r="AB1046">
            <v>3100</v>
          </cell>
          <cell r="AI1046" t="str">
            <v>田村沢</v>
          </cell>
          <cell r="AK1046" t="str">
            <v>天竜川</v>
          </cell>
          <cell r="AL1046" t="str">
            <v>秋葉ダム</v>
          </cell>
          <cell r="AN1046">
            <v>57</v>
          </cell>
          <cell r="AO1046" t="str">
            <v>愛知県東部（豊川用水域）</v>
          </cell>
          <cell r="AQ1046" t="str">
            <v/>
          </cell>
          <cell r="AR1046" t="str">
            <v>オキシディションディッチ法</v>
          </cell>
          <cell r="AS1046" t="str">
            <v>2041302001</v>
          </cell>
          <cell r="AT1046" t="str">
            <v/>
          </cell>
          <cell r="AU1046" t="str">
            <v>10</v>
          </cell>
          <cell r="AV1046" t="str">
            <v>10</v>
          </cell>
          <cell r="AW1046">
            <v>0</v>
          </cell>
          <cell r="AX1046">
            <v>0</v>
          </cell>
          <cell r="AY1046">
            <v>0</v>
          </cell>
          <cell r="AZ1046">
            <v>0</v>
          </cell>
          <cell r="BA1046">
            <v>0</v>
          </cell>
          <cell r="BD1046" t="str">
            <v/>
          </cell>
          <cell r="BE1046">
            <v>1</v>
          </cell>
          <cell r="BG1046" t="str">
            <v>1100</v>
          </cell>
        </row>
        <row r="1047">
          <cell r="B1047" t="str">
            <v>G204150206100100</v>
          </cell>
          <cell r="C1047" t="str">
            <v>20.長野県</v>
          </cell>
          <cell r="D1047" t="str">
            <v>415</v>
          </cell>
          <cell r="E1047" t="str">
            <v>喬木村</v>
          </cell>
          <cell r="F1047" t="str">
            <v>02</v>
          </cell>
          <cell r="G1047" t="str">
            <v>特環 単独</v>
          </cell>
          <cell r="H1047" t="str">
            <v>特定環境保全公共下水道</v>
          </cell>
          <cell r="I1047" t="str">
            <v>単独</v>
          </cell>
          <cell r="J1047" t="str">
            <v>001</v>
          </cell>
          <cell r="K1047" t="str">
            <v>堰下浄化センター</v>
          </cell>
          <cell r="M1047" t="str">
            <v>1</v>
          </cell>
          <cell r="N1047" t="str">
            <v>1</v>
          </cell>
          <cell r="Q1047">
            <v>35339</v>
          </cell>
          <cell r="R1047" t="str">
            <v>平成</v>
          </cell>
          <cell r="S1047">
            <v>8</v>
          </cell>
          <cell r="T1047">
            <v>10</v>
          </cell>
          <cell r="AB1047">
            <v>10914</v>
          </cell>
          <cell r="AC1047" t="str">
            <v>天竜川</v>
          </cell>
          <cell r="AD1047" t="str">
            <v>Ａ</v>
          </cell>
          <cell r="AE1047" t="str">
            <v>イ</v>
          </cell>
          <cell r="AF1047">
            <v>15</v>
          </cell>
          <cell r="AI1047" t="str">
            <v>小川川</v>
          </cell>
          <cell r="AK1047" t="str">
            <v>天竜川</v>
          </cell>
          <cell r="AL1047" t="str">
            <v>秋葉ダム</v>
          </cell>
          <cell r="AN1047">
            <v>102</v>
          </cell>
          <cell r="AO1047" t="str">
            <v>浜松市</v>
          </cell>
          <cell r="AQ1047" t="str">
            <v/>
          </cell>
          <cell r="AR1047" t="str">
            <v>オキシディションディッチ法</v>
          </cell>
          <cell r="AS1047" t="str">
            <v>2041502001</v>
          </cell>
          <cell r="AT1047" t="str">
            <v/>
          </cell>
          <cell r="AU1047" t="str">
            <v>10</v>
          </cell>
          <cell r="AV1047" t="str">
            <v>10</v>
          </cell>
          <cell r="AW1047">
            <v>0</v>
          </cell>
          <cell r="AX1047">
            <v>0</v>
          </cell>
          <cell r="AY1047">
            <v>0</v>
          </cell>
          <cell r="AZ1047">
            <v>0</v>
          </cell>
          <cell r="BA1047">
            <v>0</v>
          </cell>
          <cell r="BD1047" t="str">
            <v/>
          </cell>
          <cell r="BE1047">
            <v>1</v>
          </cell>
          <cell r="BG1047" t="str">
            <v>1100</v>
          </cell>
        </row>
        <row r="1048">
          <cell r="B1048" t="str">
            <v>G204160206100100</v>
          </cell>
          <cell r="C1048" t="str">
            <v>20.長野県</v>
          </cell>
          <cell r="D1048" t="str">
            <v>416</v>
          </cell>
          <cell r="E1048" t="str">
            <v>豊丘村</v>
          </cell>
          <cell r="F1048" t="str">
            <v>02</v>
          </cell>
          <cell r="G1048" t="str">
            <v>特環 単独</v>
          </cell>
          <cell r="H1048" t="str">
            <v>特定環境保全公共下水道</v>
          </cell>
          <cell r="I1048" t="str">
            <v>単独</v>
          </cell>
          <cell r="J1048" t="str">
            <v>001</v>
          </cell>
          <cell r="K1048" t="str">
            <v>豊丘浄化センター</v>
          </cell>
          <cell r="M1048" t="str">
            <v>1</v>
          </cell>
          <cell r="N1048" t="str">
            <v>1</v>
          </cell>
          <cell r="Q1048">
            <v>35065</v>
          </cell>
          <cell r="R1048" t="str">
            <v>平成</v>
          </cell>
          <cell r="S1048">
            <v>8</v>
          </cell>
          <cell r="T1048">
            <v>1</v>
          </cell>
          <cell r="AB1048">
            <v>8600</v>
          </cell>
          <cell r="AC1048" t="str">
            <v>天竜川</v>
          </cell>
          <cell r="AD1048" t="str">
            <v>Ａ</v>
          </cell>
          <cell r="AF1048">
            <v>15</v>
          </cell>
          <cell r="AI1048" t="str">
            <v>竜東井排水路</v>
          </cell>
          <cell r="AK1048" t="str">
            <v>天竜川</v>
          </cell>
          <cell r="AL1048" t="str">
            <v>秋葉ダム取水口</v>
          </cell>
          <cell r="AN1048">
            <v>105.9</v>
          </cell>
          <cell r="AO1048" t="str">
            <v>浜松市</v>
          </cell>
          <cell r="AQ1048" t="str">
            <v/>
          </cell>
          <cell r="AR1048" t="str">
            <v>オキシディションディッチ法</v>
          </cell>
          <cell r="AS1048" t="str">
            <v>2041602001</v>
          </cell>
          <cell r="AT1048" t="str">
            <v/>
          </cell>
          <cell r="AU1048" t="str">
            <v>10</v>
          </cell>
          <cell r="AV1048" t="str">
            <v>10</v>
          </cell>
          <cell r="AW1048">
            <v>0</v>
          </cell>
          <cell r="AX1048">
            <v>0</v>
          </cell>
          <cell r="AY1048">
            <v>0</v>
          </cell>
          <cell r="AZ1048">
            <v>0</v>
          </cell>
          <cell r="BA1048">
            <v>0</v>
          </cell>
          <cell r="BD1048" t="str">
            <v/>
          </cell>
          <cell r="BE1048">
            <v>1</v>
          </cell>
          <cell r="BG1048" t="str">
            <v>1100</v>
          </cell>
        </row>
        <row r="1049">
          <cell r="B1049" t="str">
            <v>G204220106100100</v>
          </cell>
          <cell r="C1049" t="str">
            <v>20.長野県</v>
          </cell>
          <cell r="D1049" t="str">
            <v>422</v>
          </cell>
          <cell r="E1049" t="str">
            <v>上松町</v>
          </cell>
          <cell r="F1049" t="str">
            <v>01</v>
          </cell>
          <cell r="G1049" t="str">
            <v>公共 単独</v>
          </cell>
          <cell r="H1049" t="str">
            <v>公共下水道</v>
          </cell>
          <cell r="I1049" t="str">
            <v>単独</v>
          </cell>
          <cell r="J1049" t="str">
            <v>001</v>
          </cell>
          <cell r="K1049" t="str">
            <v>上松浄化センター</v>
          </cell>
          <cell r="M1049" t="str">
            <v>1</v>
          </cell>
          <cell r="N1049" t="str">
            <v>1</v>
          </cell>
          <cell r="Q1049">
            <v>38322</v>
          </cell>
          <cell r="R1049" t="str">
            <v>平成</v>
          </cell>
          <cell r="S1049">
            <v>16</v>
          </cell>
          <cell r="T1049">
            <v>12</v>
          </cell>
          <cell r="AB1049">
            <v>4990</v>
          </cell>
          <cell r="AC1049" t="str">
            <v>木曽川</v>
          </cell>
          <cell r="AD1049" t="str">
            <v>ＡＡ</v>
          </cell>
          <cell r="AE1049" t="str">
            <v>イ</v>
          </cell>
          <cell r="AF1049">
            <v>15</v>
          </cell>
          <cell r="AI1049" t="str">
            <v>小川</v>
          </cell>
          <cell r="AK1049" t="str">
            <v>木曽川</v>
          </cell>
          <cell r="AQ1049" t="str">
            <v/>
          </cell>
          <cell r="AR1049" t="str">
            <v>オキシディションディッチ法</v>
          </cell>
          <cell r="AS1049" t="str">
            <v>2042201001</v>
          </cell>
          <cell r="AT1049" t="str">
            <v/>
          </cell>
          <cell r="AU1049" t="str">
            <v>10</v>
          </cell>
          <cell r="AV1049" t="str">
            <v>10</v>
          </cell>
          <cell r="AW1049">
            <v>0</v>
          </cell>
          <cell r="AX1049">
            <v>0</v>
          </cell>
          <cell r="AY1049">
            <v>0</v>
          </cell>
          <cell r="AZ1049">
            <v>0</v>
          </cell>
          <cell r="BA1049">
            <v>0</v>
          </cell>
          <cell r="BD1049" t="str">
            <v/>
          </cell>
          <cell r="BE1049">
            <v>1</v>
          </cell>
          <cell r="BG1049" t="str">
            <v>1100</v>
          </cell>
        </row>
        <row r="1050">
          <cell r="B1050" t="str">
            <v>G204230206100100</v>
          </cell>
          <cell r="C1050" t="str">
            <v>20.長野県</v>
          </cell>
          <cell r="D1050" t="str">
            <v>423</v>
          </cell>
          <cell r="E1050" t="str">
            <v>南木曽町</v>
          </cell>
          <cell r="F1050" t="str">
            <v>02</v>
          </cell>
          <cell r="G1050" t="str">
            <v>特環 単独</v>
          </cell>
          <cell r="H1050" t="str">
            <v>特定環境保全公共下水道</v>
          </cell>
          <cell r="I1050" t="str">
            <v>単独</v>
          </cell>
          <cell r="J1050" t="str">
            <v>001</v>
          </cell>
          <cell r="K1050" t="str">
            <v>妻籠クリーンセンター</v>
          </cell>
          <cell r="M1050" t="str">
            <v>1</v>
          </cell>
          <cell r="N1050" t="str">
            <v>1</v>
          </cell>
          <cell r="Q1050">
            <v>36586</v>
          </cell>
          <cell r="R1050" t="str">
            <v>平成</v>
          </cell>
          <cell r="S1050">
            <v>12</v>
          </cell>
          <cell r="T1050">
            <v>3</v>
          </cell>
          <cell r="AB1050">
            <v>3134</v>
          </cell>
          <cell r="AC1050" t="str">
            <v>木曽川</v>
          </cell>
          <cell r="AD1050" t="str">
            <v>ＡＡ</v>
          </cell>
          <cell r="AE1050" t="str">
            <v>イ</v>
          </cell>
          <cell r="AF1050">
            <v>15</v>
          </cell>
          <cell r="AG1050">
            <v>17</v>
          </cell>
          <cell r="AH1050">
            <v>1.4</v>
          </cell>
          <cell r="AK1050" t="str">
            <v>蘭川・木曽川</v>
          </cell>
          <cell r="AL1050" t="str">
            <v>落合取水口</v>
          </cell>
          <cell r="AN1050">
            <v>25</v>
          </cell>
          <cell r="AO1050" t="str">
            <v>中津川市</v>
          </cell>
          <cell r="AQ1050" t="str">
            <v/>
          </cell>
          <cell r="AR1050" t="str">
            <v>好気性ろ床法</v>
          </cell>
          <cell r="AS1050" t="str">
            <v>2042302001</v>
          </cell>
          <cell r="AT1050" t="str">
            <v/>
          </cell>
          <cell r="AU1050" t="str">
            <v>10</v>
          </cell>
          <cell r="AV1050" t="str">
            <v>10</v>
          </cell>
          <cell r="AW1050">
            <v>0</v>
          </cell>
          <cell r="AX1050">
            <v>0</v>
          </cell>
          <cell r="AY1050">
            <v>0</v>
          </cell>
          <cell r="AZ1050">
            <v>0</v>
          </cell>
          <cell r="BA1050">
            <v>0</v>
          </cell>
          <cell r="BD1050" t="str">
            <v/>
          </cell>
          <cell r="BE1050">
            <v>1</v>
          </cell>
          <cell r="BG1050" t="str">
            <v>1100</v>
          </cell>
        </row>
        <row r="1051">
          <cell r="B1051" t="str">
            <v>G204250206100100</v>
          </cell>
          <cell r="C1051" t="str">
            <v>20.長野県</v>
          </cell>
          <cell r="D1051" t="str">
            <v>425</v>
          </cell>
          <cell r="E1051" t="str">
            <v>木祖村</v>
          </cell>
          <cell r="F1051" t="str">
            <v>02</v>
          </cell>
          <cell r="G1051" t="str">
            <v>特環 単独</v>
          </cell>
          <cell r="H1051" t="str">
            <v>特定環境保全公共下水道</v>
          </cell>
          <cell r="I1051" t="str">
            <v>単独</v>
          </cell>
          <cell r="J1051" t="str">
            <v>001</v>
          </cell>
          <cell r="K1051" t="str">
            <v>木祖浄化センター</v>
          </cell>
          <cell r="M1051" t="str">
            <v>1</v>
          </cell>
          <cell r="N1051" t="str">
            <v>1</v>
          </cell>
          <cell r="Q1051">
            <v>36951</v>
          </cell>
          <cell r="R1051" t="str">
            <v>平成</v>
          </cell>
          <cell r="S1051">
            <v>13</v>
          </cell>
          <cell r="T1051">
            <v>3</v>
          </cell>
          <cell r="AB1051">
            <v>6900</v>
          </cell>
          <cell r="AC1051" t="str">
            <v>木曽川</v>
          </cell>
          <cell r="AD1051" t="str">
            <v>ＡＡ</v>
          </cell>
          <cell r="AE1051" t="str">
            <v>イ</v>
          </cell>
          <cell r="AF1051">
            <v>15</v>
          </cell>
          <cell r="AG1051">
            <v>17</v>
          </cell>
          <cell r="AH1051">
            <v>1.4</v>
          </cell>
          <cell r="AK1051" t="str">
            <v>木曽川</v>
          </cell>
          <cell r="AL1051" t="str">
            <v>落合取水口</v>
          </cell>
          <cell r="AN1051">
            <v>110</v>
          </cell>
          <cell r="AO1051" t="str">
            <v>中津川市他</v>
          </cell>
          <cell r="AQ1051" t="str">
            <v/>
          </cell>
          <cell r="AR1051" t="str">
            <v>オキシディションディッチ法</v>
          </cell>
          <cell r="AS1051" t="str">
            <v>2042502001</v>
          </cell>
          <cell r="AT1051" t="str">
            <v/>
          </cell>
          <cell r="AU1051" t="str">
            <v>10</v>
          </cell>
          <cell r="AV1051" t="str">
            <v>10</v>
          </cell>
          <cell r="AW1051">
            <v>0</v>
          </cell>
          <cell r="AX1051">
            <v>0</v>
          </cell>
          <cell r="AY1051">
            <v>0</v>
          </cell>
          <cell r="AZ1051">
            <v>0</v>
          </cell>
          <cell r="BA1051">
            <v>0</v>
          </cell>
          <cell r="BD1051" t="str">
            <v/>
          </cell>
          <cell r="BE1051">
            <v>1</v>
          </cell>
          <cell r="BG1051" t="str">
            <v>1100</v>
          </cell>
        </row>
        <row r="1052">
          <cell r="B1052" t="str">
            <v>G204300206100100</v>
          </cell>
          <cell r="C1052" t="str">
            <v>20.長野県</v>
          </cell>
          <cell r="D1052" t="str">
            <v>430</v>
          </cell>
          <cell r="E1052" t="str">
            <v>大桑村</v>
          </cell>
          <cell r="F1052" t="str">
            <v>02</v>
          </cell>
          <cell r="G1052" t="str">
            <v>特環 単独</v>
          </cell>
          <cell r="H1052" t="str">
            <v>特定環境保全公共下水道</v>
          </cell>
          <cell r="I1052" t="str">
            <v>単独</v>
          </cell>
          <cell r="J1052" t="str">
            <v>001</v>
          </cell>
          <cell r="K1052" t="str">
            <v>野尻浄化センター</v>
          </cell>
          <cell r="M1052" t="str">
            <v>1</v>
          </cell>
          <cell r="N1052" t="str">
            <v>1</v>
          </cell>
          <cell r="Q1052">
            <v>37622</v>
          </cell>
          <cell r="R1052" t="str">
            <v>平成</v>
          </cell>
          <cell r="S1052">
            <v>15</v>
          </cell>
          <cell r="T1052">
            <v>1</v>
          </cell>
          <cell r="AB1052">
            <v>3400</v>
          </cell>
          <cell r="AC1052" t="str">
            <v>木曽川</v>
          </cell>
          <cell r="AD1052" t="str">
            <v>ＡＡ</v>
          </cell>
          <cell r="AE1052" t="str">
            <v>イ</v>
          </cell>
          <cell r="AF1052">
            <v>15</v>
          </cell>
          <cell r="AK1052" t="str">
            <v>二反田川</v>
          </cell>
          <cell r="AQ1052" t="str">
            <v/>
          </cell>
          <cell r="AR1052" t="str">
            <v>オキシディションディッチ法</v>
          </cell>
          <cell r="AS1052" t="str">
            <v>2043002001</v>
          </cell>
          <cell r="AT1052" t="str">
            <v/>
          </cell>
          <cell r="AU1052" t="str">
            <v>10</v>
          </cell>
          <cell r="AV1052" t="str">
            <v>10</v>
          </cell>
          <cell r="AW1052">
            <v>0</v>
          </cell>
          <cell r="AX1052">
            <v>0</v>
          </cell>
          <cell r="AY1052">
            <v>0</v>
          </cell>
          <cell r="AZ1052">
            <v>0</v>
          </cell>
          <cell r="BA1052">
            <v>0</v>
          </cell>
          <cell r="BD1052" t="str">
            <v/>
          </cell>
          <cell r="BE1052">
            <v>1</v>
          </cell>
          <cell r="BG1052" t="str">
            <v>1100</v>
          </cell>
        </row>
        <row r="1053">
          <cell r="B1053" t="str">
            <v>G204320106100100</v>
          </cell>
          <cell r="C1053" t="str">
            <v>20.長野県</v>
          </cell>
          <cell r="D1053" t="str">
            <v>432</v>
          </cell>
          <cell r="E1053" t="str">
            <v>木曽町</v>
          </cell>
          <cell r="F1053" t="str">
            <v>01</v>
          </cell>
          <cell r="G1053" t="str">
            <v>公共 単独</v>
          </cell>
          <cell r="H1053" t="str">
            <v>公共下水道</v>
          </cell>
          <cell r="I1053" t="str">
            <v>単独</v>
          </cell>
          <cell r="J1053" t="str">
            <v>001</v>
          </cell>
          <cell r="K1053" t="str">
            <v>木曽福島浄化センター</v>
          </cell>
          <cell r="M1053" t="str">
            <v>1</v>
          </cell>
          <cell r="N1053" t="str">
            <v>1</v>
          </cell>
          <cell r="Q1053">
            <v>35704</v>
          </cell>
          <cell r="R1053" t="str">
            <v>平成</v>
          </cell>
          <cell r="S1053">
            <v>9</v>
          </cell>
          <cell r="T1053">
            <v>10</v>
          </cell>
          <cell r="AB1053">
            <v>14300</v>
          </cell>
          <cell r="AC1053" t="str">
            <v>木曽川</v>
          </cell>
          <cell r="AD1053" t="str">
            <v>ＡＡ</v>
          </cell>
          <cell r="AE1053" t="str">
            <v>イ</v>
          </cell>
          <cell r="AF1053">
            <v>15</v>
          </cell>
          <cell r="AG1053">
            <v>20</v>
          </cell>
          <cell r="AH1053">
            <v>3</v>
          </cell>
          <cell r="AI1053" t="str">
            <v>神戸洞沢</v>
          </cell>
          <cell r="AK1053" t="str">
            <v>木曽川</v>
          </cell>
          <cell r="AN1053">
            <v>45.6</v>
          </cell>
          <cell r="AO1053" t="str">
            <v>中津川市他</v>
          </cell>
          <cell r="AQ1053" t="str">
            <v/>
          </cell>
          <cell r="AR1053" t="str">
            <v>オキシディションディッチ法</v>
          </cell>
          <cell r="AS1053" t="str">
            <v>2043201001</v>
          </cell>
          <cell r="AT1053" t="str">
            <v/>
          </cell>
          <cell r="AU1053" t="str">
            <v>10</v>
          </cell>
          <cell r="AV1053" t="str">
            <v>10</v>
          </cell>
          <cell r="AW1053">
            <v>0</v>
          </cell>
          <cell r="AX1053">
            <v>0</v>
          </cell>
          <cell r="AY1053">
            <v>0</v>
          </cell>
          <cell r="AZ1053">
            <v>0</v>
          </cell>
          <cell r="BA1053">
            <v>0</v>
          </cell>
          <cell r="BD1053" t="str">
            <v/>
          </cell>
          <cell r="BE1053">
            <v>1</v>
          </cell>
          <cell r="BG1053" t="str">
            <v>1100</v>
          </cell>
        </row>
        <row r="1054">
          <cell r="B1054" t="str">
            <v>G204320206100200</v>
          </cell>
          <cell r="C1054" t="str">
            <v>20.長野県</v>
          </cell>
          <cell r="D1054" t="str">
            <v>432</v>
          </cell>
          <cell r="E1054" t="str">
            <v>木曽町</v>
          </cell>
          <cell r="F1054" t="str">
            <v>02</v>
          </cell>
          <cell r="G1054" t="str">
            <v>特環 単独</v>
          </cell>
          <cell r="H1054" t="str">
            <v>特定環境保全公共下水道</v>
          </cell>
          <cell r="I1054" t="str">
            <v>単独</v>
          </cell>
          <cell r="J1054" t="str">
            <v>002</v>
          </cell>
          <cell r="K1054" t="str">
            <v>日義浄化センター</v>
          </cell>
          <cell r="M1054" t="str">
            <v>1</v>
          </cell>
          <cell r="N1054" t="str">
            <v>1</v>
          </cell>
          <cell r="Q1054">
            <v>35521</v>
          </cell>
          <cell r="R1054" t="str">
            <v>平成</v>
          </cell>
          <cell r="S1054">
            <v>9</v>
          </cell>
          <cell r="T1054">
            <v>4</v>
          </cell>
          <cell r="AB1054">
            <v>14000</v>
          </cell>
          <cell r="AC1054" t="str">
            <v>木曽川</v>
          </cell>
          <cell r="AD1054" t="str">
            <v>ＡＡ</v>
          </cell>
          <cell r="AE1054" t="str">
            <v>イ</v>
          </cell>
          <cell r="AF1054">
            <v>15</v>
          </cell>
          <cell r="AG1054">
            <v>20</v>
          </cell>
          <cell r="AH1054">
            <v>3</v>
          </cell>
          <cell r="AK1054" t="str">
            <v>木曽川</v>
          </cell>
          <cell r="AL1054" t="str">
            <v>落合取水口</v>
          </cell>
          <cell r="AN1054">
            <v>49.6</v>
          </cell>
          <cell r="AO1054" t="str">
            <v>中津川市他</v>
          </cell>
          <cell r="AQ1054" t="str">
            <v/>
          </cell>
          <cell r="AR1054" t="str">
            <v>オキシディションディッチ法</v>
          </cell>
          <cell r="AS1054" t="str">
            <v>2043202002</v>
          </cell>
          <cell r="AT1054" t="str">
            <v/>
          </cell>
          <cell r="AU1054" t="str">
            <v>10</v>
          </cell>
          <cell r="AV1054" t="str">
            <v>10</v>
          </cell>
          <cell r="AW1054">
            <v>0</v>
          </cell>
          <cell r="AX1054">
            <v>0</v>
          </cell>
          <cell r="AY1054">
            <v>0</v>
          </cell>
          <cell r="AZ1054">
            <v>0</v>
          </cell>
          <cell r="BA1054">
            <v>0</v>
          </cell>
          <cell r="BD1054" t="str">
            <v/>
          </cell>
          <cell r="BE1054">
            <v>1</v>
          </cell>
          <cell r="BG1054" t="str">
            <v>1100</v>
          </cell>
        </row>
        <row r="1055">
          <cell r="B1055" t="str">
            <v>G204320206100300</v>
          </cell>
          <cell r="C1055" t="str">
            <v>20.長野県</v>
          </cell>
          <cell r="D1055" t="str">
            <v>432</v>
          </cell>
          <cell r="E1055" t="str">
            <v>木曽町</v>
          </cell>
          <cell r="F1055" t="str">
            <v>02</v>
          </cell>
          <cell r="G1055" t="str">
            <v>特環 単独</v>
          </cell>
          <cell r="H1055" t="str">
            <v>特定環境保全公共下水道</v>
          </cell>
          <cell r="I1055" t="str">
            <v>単独</v>
          </cell>
          <cell r="J1055" t="str">
            <v>003</v>
          </cell>
          <cell r="K1055" t="str">
            <v>大原浄化センター</v>
          </cell>
          <cell r="M1055" t="str">
            <v>1</v>
          </cell>
          <cell r="N1055" t="str">
            <v>1</v>
          </cell>
          <cell r="Q1055">
            <v>37712</v>
          </cell>
          <cell r="R1055" t="str">
            <v>平成</v>
          </cell>
          <cell r="S1055">
            <v>15</v>
          </cell>
          <cell r="T1055">
            <v>4</v>
          </cell>
          <cell r="AB1055">
            <v>2500</v>
          </cell>
          <cell r="AC1055" t="str">
            <v>木曽川</v>
          </cell>
          <cell r="AD1055" t="str">
            <v>ＡＡ</v>
          </cell>
          <cell r="AE1055" t="str">
            <v>イ</v>
          </cell>
          <cell r="AF1055">
            <v>15</v>
          </cell>
          <cell r="AI1055" t="str">
            <v>水沢</v>
          </cell>
          <cell r="AK1055" t="str">
            <v>正沢川</v>
          </cell>
          <cell r="AQ1055" t="str">
            <v/>
          </cell>
          <cell r="AR1055" t="str">
            <v>オキシディションディッチ法</v>
          </cell>
          <cell r="AS1055" t="str">
            <v>2043202003</v>
          </cell>
          <cell r="AT1055" t="str">
            <v/>
          </cell>
          <cell r="AU1055" t="str">
            <v>10</v>
          </cell>
          <cell r="AV1055" t="str">
            <v>10</v>
          </cell>
          <cell r="AW1055">
            <v>0</v>
          </cell>
          <cell r="AX1055">
            <v>0</v>
          </cell>
          <cell r="AY1055">
            <v>0</v>
          </cell>
          <cell r="AZ1055">
            <v>0</v>
          </cell>
          <cell r="BA1055">
            <v>0</v>
          </cell>
          <cell r="BD1055" t="str">
            <v/>
          </cell>
          <cell r="BE1055">
            <v>1</v>
          </cell>
          <cell r="BG1055" t="str">
            <v>1100</v>
          </cell>
        </row>
        <row r="1056">
          <cell r="B1056" t="str">
            <v>G204460206100100</v>
          </cell>
          <cell r="C1056" t="str">
            <v>20.長野県</v>
          </cell>
          <cell r="D1056" t="str">
            <v>446</v>
          </cell>
          <cell r="E1056" t="str">
            <v>麻績村</v>
          </cell>
          <cell r="F1056" t="str">
            <v>02</v>
          </cell>
          <cell r="G1056" t="str">
            <v>特環 単独</v>
          </cell>
          <cell r="H1056" t="str">
            <v>特定環境保全公共下水道</v>
          </cell>
          <cell r="I1056" t="str">
            <v>単独</v>
          </cell>
          <cell r="J1056" t="str">
            <v>001</v>
          </cell>
          <cell r="K1056" t="str">
            <v>麻績アクアセンター</v>
          </cell>
          <cell r="M1056" t="str">
            <v>1</v>
          </cell>
          <cell r="N1056" t="str">
            <v>1</v>
          </cell>
          <cell r="Q1056">
            <v>36251</v>
          </cell>
          <cell r="R1056" t="str">
            <v>平成</v>
          </cell>
          <cell r="S1056">
            <v>11</v>
          </cell>
          <cell r="T1056">
            <v>4</v>
          </cell>
          <cell r="AB1056">
            <v>6430</v>
          </cell>
          <cell r="AC1056" t="str">
            <v>犀川水域</v>
          </cell>
          <cell r="AD1056" t="str">
            <v>Ａ</v>
          </cell>
          <cell r="AE1056" t="str">
            <v>ロ</v>
          </cell>
          <cell r="AF1056">
            <v>15</v>
          </cell>
          <cell r="AK1056" t="str">
            <v>麻績川</v>
          </cell>
          <cell r="AL1056" t="str">
            <v>小田切ダム</v>
          </cell>
          <cell r="AN1056">
            <v>50</v>
          </cell>
          <cell r="AO1056" t="str">
            <v>長野市</v>
          </cell>
          <cell r="AQ1056" t="str">
            <v/>
          </cell>
          <cell r="AR1056" t="str">
            <v>オキシディションディッチ法</v>
          </cell>
          <cell r="AS1056" t="str">
            <v>2044602001</v>
          </cell>
          <cell r="AT1056" t="str">
            <v/>
          </cell>
          <cell r="AU1056" t="str">
            <v>10</v>
          </cell>
          <cell r="AV1056" t="str">
            <v>10</v>
          </cell>
          <cell r="AW1056">
            <v>0</v>
          </cell>
          <cell r="AX1056">
            <v>0</v>
          </cell>
          <cell r="AY1056">
            <v>0</v>
          </cell>
          <cell r="AZ1056">
            <v>0</v>
          </cell>
          <cell r="BA1056">
            <v>0</v>
          </cell>
          <cell r="BD1056" t="str">
            <v/>
          </cell>
          <cell r="BE1056">
            <v>1</v>
          </cell>
          <cell r="BG1056" t="str">
            <v>1100</v>
          </cell>
        </row>
        <row r="1057">
          <cell r="B1057" t="str">
            <v>G204500206100100</v>
          </cell>
          <cell r="C1057" t="str">
            <v>20.長野県</v>
          </cell>
          <cell r="D1057" t="str">
            <v>450</v>
          </cell>
          <cell r="E1057" t="str">
            <v>山形村</v>
          </cell>
          <cell r="F1057" t="str">
            <v>02</v>
          </cell>
          <cell r="G1057" t="str">
            <v>特環 単独</v>
          </cell>
          <cell r="H1057" t="str">
            <v>特定環境保全公共下水道</v>
          </cell>
          <cell r="I1057" t="str">
            <v>単独</v>
          </cell>
          <cell r="J1057" t="str">
            <v>001</v>
          </cell>
          <cell r="K1057" t="str">
            <v>山形浄化センター</v>
          </cell>
          <cell r="M1057" t="str">
            <v>1</v>
          </cell>
          <cell r="N1057" t="str">
            <v>1</v>
          </cell>
          <cell r="Q1057">
            <v>35125</v>
          </cell>
          <cell r="R1057" t="str">
            <v>平成</v>
          </cell>
          <cell r="S1057">
            <v>8</v>
          </cell>
          <cell r="T1057">
            <v>3</v>
          </cell>
          <cell r="AB1057">
            <v>19058</v>
          </cell>
          <cell r="AK1057" t="str">
            <v>三間沢川</v>
          </cell>
          <cell r="AL1057" t="str">
            <v>唐沢取水口</v>
          </cell>
          <cell r="AM1057">
            <v>5.3</v>
          </cell>
          <cell r="AO1057" t="str">
            <v>山形村</v>
          </cell>
          <cell r="AQ1057" t="str">
            <v/>
          </cell>
          <cell r="AR1057" t="str">
            <v>オキシディションディッチ法</v>
          </cell>
          <cell r="AS1057" t="str">
            <v>2045002001</v>
          </cell>
          <cell r="AT1057" t="str">
            <v/>
          </cell>
          <cell r="AU1057" t="str">
            <v>10</v>
          </cell>
          <cell r="AV1057" t="str">
            <v>10</v>
          </cell>
          <cell r="AW1057">
            <v>0</v>
          </cell>
          <cell r="AX1057">
            <v>0</v>
          </cell>
          <cell r="AY1057">
            <v>0</v>
          </cell>
          <cell r="AZ1057">
            <v>0</v>
          </cell>
          <cell r="BA1057">
            <v>0</v>
          </cell>
          <cell r="BD1057" t="str">
            <v/>
          </cell>
          <cell r="BE1057">
            <v>1</v>
          </cell>
          <cell r="BG1057" t="str">
            <v>1100</v>
          </cell>
        </row>
        <row r="1058">
          <cell r="B1058" t="str">
            <v>G204510206100100</v>
          </cell>
          <cell r="C1058" t="str">
            <v>20.長野県</v>
          </cell>
          <cell r="D1058" t="str">
            <v>451</v>
          </cell>
          <cell r="E1058" t="str">
            <v>朝日村</v>
          </cell>
          <cell r="F1058" t="str">
            <v>02</v>
          </cell>
          <cell r="G1058" t="str">
            <v>特環 単独</v>
          </cell>
          <cell r="H1058" t="str">
            <v>特定環境保全公共下水道</v>
          </cell>
          <cell r="I1058" t="str">
            <v>単独</v>
          </cell>
          <cell r="J1058" t="str">
            <v>001</v>
          </cell>
          <cell r="K1058" t="str">
            <v>ピュアラインあさひ</v>
          </cell>
          <cell r="M1058" t="str">
            <v>1</v>
          </cell>
          <cell r="N1058" t="str">
            <v>1</v>
          </cell>
          <cell r="Q1058">
            <v>35155</v>
          </cell>
          <cell r="R1058" t="str">
            <v>平成</v>
          </cell>
          <cell r="S1058">
            <v>8</v>
          </cell>
          <cell r="T1058">
            <v>3</v>
          </cell>
          <cell r="AB1058">
            <v>12300</v>
          </cell>
          <cell r="AC1058" t="str">
            <v>鎖川</v>
          </cell>
          <cell r="AD1058" t="str">
            <v>Ａ</v>
          </cell>
          <cell r="AE1058" t="str">
            <v>イ</v>
          </cell>
          <cell r="AF1058">
            <v>15</v>
          </cell>
          <cell r="AK1058" t="str">
            <v>鎖川</v>
          </cell>
          <cell r="AQ1058" t="str">
            <v/>
          </cell>
          <cell r="AR1058" t="str">
            <v>オキシディションディッチ法</v>
          </cell>
          <cell r="AS1058" t="str">
            <v>2045102001</v>
          </cell>
          <cell r="AT1058" t="str">
            <v/>
          </cell>
          <cell r="AU1058" t="str">
            <v>10</v>
          </cell>
          <cell r="AV1058" t="str">
            <v>10</v>
          </cell>
          <cell r="AW1058">
            <v>0</v>
          </cell>
          <cell r="AX1058">
            <v>0</v>
          </cell>
          <cell r="AY1058">
            <v>0</v>
          </cell>
          <cell r="AZ1058">
            <v>0</v>
          </cell>
          <cell r="BA1058">
            <v>0</v>
          </cell>
          <cell r="BD1058" t="str">
            <v/>
          </cell>
          <cell r="BE1058">
            <v>1</v>
          </cell>
          <cell r="BG1058" t="str">
            <v>1100</v>
          </cell>
        </row>
        <row r="1059">
          <cell r="B1059" t="str">
            <v>G204810106100100</v>
          </cell>
          <cell r="C1059" t="str">
            <v>20.長野県</v>
          </cell>
          <cell r="D1059" t="str">
            <v>481</v>
          </cell>
          <cell r="E1059" t="str">
            <v>池田町</v>
          </cell>
          <cell r="F1059" t="str">
            <v>01</v>
          </cell>
          <cell r="G1059" t="str">
            <v>公共 単独</v>
          </cell>
          <cell r="H1059" t="str">
            <v>公共下水道</v>
          </cell>
          <cell r="I1059" t="str">
            <v>単独</v>
          </cell>
          <cell r="J1059" t="str">
            <v>001</v>
          </cell>
          <cell r="K1059" t="str">
            <v>高瀬浄水園</v>
          </cell>
          <cell r="M1059" t="str">
            <v>1</v>
          </cell>
          <cell r="N1059" t="str">
            <v>1</v>
          </cell>
          <cell r="Q1059">
            <v>36800</v>
          </cell>
          <cell r="R1059" t="str">
            <v>平成</v>
          </cell>
          <cell r="S1059">
            <v>12</v>
          </cell>
          <cell r="T1059">
            <v>10</v>
          </cell>
          <cell r="AB1059">
            <v>21676</v>
          </cell>
          <cell r="AC1059" t="str">
            <v>高瀬川</v>
          </cell>
          <cell r="AD1059" t="str">
            <v>Ａ</v>
          </cell>
          <cell r="AE1059" t="str">
            <v>イ</v>
          </cell>
          <cell r="AF1059">
            <v>15</v>
          </cell>
          <cell r="AK1059" t="str">
            <v>高瀬川</v>
          </cell>
          <cell r="AL1059" t="str">
            <v>小田切</v>
          </cell>
          <cell r="AN1059">
            <v>60</v>
          </cell>
          <cell r="AO1059" t="str">
            <v>長野市</v>
          </cell>
          <cell r="AQ1059" t="str">
            <v/>
          </cell>
          <cell r="AR1059" t="str">
            <v>オキシディションディッチ法</v>
          </cell>
          <cell r="AS1059" t="str">
            <v>2048101001</v>
          </cell>
          <cell r="AT1059" t="str">
            <v/>
          </cell>
          <cell r="AU1059" t="str">
            <v>10</v>
          </cell>
          <cell r="AV1059" t="str">
            <v>10</v>
          </cell>
          <cell r="AW1059">
            <v>0</v>
          </cell>
          <cell r="AX1059">
            <v>0</v>
          </cell>
          <cell r="AY1059">
            <v>0</v>
          </cell>
          <cell r="AZ1059">
            <v>0</v>
          </cell>
          <cell r="BA1059">
            <v>0</v>
          </cell>
          <cell r="BD1059" t="str">
            <v/>
          </cell>
          <cell r="BE1059">
            <v>1</v>
          </cell>
          <cell r="BG1059" t="str">
            <v>1100</v>
          </cell>
        </row>
        <row r="1060">
          <cell r="B1060" t="str">
            <v>G204820206100100</v>
          </cell>
          <cell r="C1060" t="str">
            <v>20.長野県</v>
          </cell>
          <cell r="D1060" t="str">
            <v>482</v>
          </cell>
          <cell r="E1060" t="str">
            <v>松川村</v>
          </cell>
          <cell r="F1060" t="str">
            <v>02</v>
          </cell>
          <cell r="G1060" t="str">
            <v>特環 単独</v>
          </cell>
          <cell r="H1060" t="str">
            <v>特定環境保全公共下水道</v>
          </cell>
          <cell r="I1060" t="str">
            <v>単独</v>
          </cell>
          <cell r="J1060" t="str">
            <v>001</v>
          </cell>
          <cell r="K1060" t="str">
            <v>松川浄水苑</v>
          </cell>
          <cell r="M1060" t="str">
            <v>1</v>
          </cell>
          <cell r="N1060" t="str">
            <v>1</v>
          </cell>
          <cell r="Q1060">
            <v>36800</v>
          </cell>
          <cell r="R1060" t="str">
            <v>平成</v>
          </cell>
          <cell r="S1060">
            <v>12</v>
          </cell>
          <cell r="T1060">
            <v>10</v>
          </cell>
          <cell r="AB1060">
            <v>21200</v>
          </cell>
          <cell r="AC1060" t="str">
            <v>高瀬橋</v>
          </cell>
          <cell r="AD1060" t="str">
            <v>Ａ</v>
          </cell>
          <cell r="AE1060" t="str">
            <v>イ</v>
          </cell>
          <cell r="AF1060">
            <v>15</v>
          </cell>
          <cell r="AK1060" t="str">
            <v>高瀬川</v>
          </cell>
          <cell r="AL1060" t="str">
            <v>生坂村簡易水道</v>
          </cell>
          <cell r="AN1060">
            <v>17</v>
          </cell>
          <cell r="AO1060" t="str">
            <v>生坂村</v>
          </cell>
          <cell r="AQ1060" t="str">
            <v/>
          </cell>
          <cell r="AR1060" t="str">
            <v>長時間エアレーション法</v>
          </cell>
          <cell r="AS1060" t="str">
            <v>2048202001</v>
          </cell>
          <cell r="AT1060" t="str">
            <v/>
          </cell>
          <cell r="AU1060" t="str">
            <v>10</v>
          </cell>
          <cell r="AV1060" t="str">
            <v>10</v>
          </cell>
          <cell r="AW1060">
            <v>0</v>
          </cell>
          <cell r="AX1060">
            <v>0</v>
          </cell>
          <cell r="AY1060">
            <v>0</v>
          </cell>
          <cell r="AZ1060">
            <v>0</v>
          </cell>
          <cell r="BA1060">
            <v>0</v>
          </cell>
          <cell r="BD1060" t="str">
            <v/>
          </cell>
          <cell r="BE1060">
            <v>1</v>
          </cell>
          <cell r="BG1060" t="str">
            <v>1100</v>
          </cell>
        </row>
        <row r="1061">
          <cell r="B1061" t="str">
            <v>G204850106100100</v>
          </cell>
          <cell r="C1061" t="str">
            <v>20.長野県</v>
          </cell>
          <cell r="D1061" t="str">
            <v>485</v>
          </cell>
          <cell r="E1061" t="str">
            <v>白馬村</v>
          </cell>
          <cell r="F1061" t="str">
            <v>01</v>
          </cell>
          <cell r="G1061" t="str">
            <v>公共 単独</v>
          </cell>
          <cell r="H1061" t="str">
            <v>公共下水道</v>
          </cell>
          <cell r="I1061" t="str">
            <v>単独</v>
          </cell>
          <cell r="J1061" t="str">
            <v>001</v>
          </cell>
          <cell r="K1061" t="str">
            <v>白馬村浄化センター</v>
          </cell>
          <cell r="M1061" t="str">
            <v>1</v>
          </cell>
          <cell r="N1061" t="str">
            <v>1</v>
          </cell>
          <cell r="Q1061">
            <v>34182</v>
          </cell>
          <cell r="R1061" t="str">
            <v>平成</v>
          </cell>
          <cell r="S1061">
            <v>5</v>
          </cell>
          <cell r="T1061">
            <v>8</v>
          </cell>
          <cell r="AB1061">
            <v>39877</v>
          </cell>
          <cell r="AC1061" t="str">
            <v>姫川</v>
          </cell>
          <cell r="AD1061" t="str">
            <v>Ａ</v>
          </cell>
          <cell r="AE1061" t="str">
            <v>イ</v>
          </cell>
          <cell r="AF1061">
            <v>15</v>
          </cell>
          <cell r="AK1061" t="str">
            <v>姫川</v>
          </cell>
          <cell r="AM1061">
            <v>12</v>
          </cell>
          <cell r="AO1061" t="str">
            <v>無し</v>
          </cell>
          <cell r="AQ1061" t="str">
            <v/>
          </cell>
          <cell r="AR1061" t="str">
            <v>オキシディションディッチ法</v>
          </cell>
          <cell r="AS1061" t="str">
            <v>2048501001</v>
          </cell>
          <cell r="AT1061" t="str">
            <v/>
          </cell>
          <cell r="AU1061" t="str">
            <v>10</v>
          </cell>
          <cell r="AV1061" t="str">
            <v>10</v>
          </cell>
          <cell r="AW1061">
            <v>0</v>
          </cell>
          <cell r="AX1061">
            <v>0</v>
          </cell>
          <cell r="AY1061">
            <v>0</v>
          </cell>
          <cell r="AZ1061">
            <v>0</v>
          </cell>
          <cell r="BA1061">
            <v>0</v>
          </cell>
          <cell r="BD1061" t="str">
            <v/>
          </cell>
          <cell r="BE1061">
            <v>1</v>
          </cell>
          <cell r="BG1061" t="str">
            <v>1100</v>
          </cell>
        </row>
        <row r="1062">
          <cell r="B1062" t="str">
            <v>G204860206100100</v>
          </cell>
          <cell r="C1062" t="str">
            <v>20.長野県</v>
          </cell>
          <cell r="D1062" t="str">
            <v>486</v>
          </cell>
          <cell r="E1062" t="str">
            <v>小谷村</v>
          </cell>
          <cell r="F1062" t="str">
            <v>02</v>
          </cell>
          <cell r="G1062" t="str">
            <v>特環 単独</v>
          </cell>
          <cell r="H1062" t="str">
            <v>特定環境保全公共下水道</v>
          </cell>
          <cell r="I1062" t="str">
            <v>単独</v>
          </cell>
          <cell r="J1062" t="str">
            <v>001</v>
          </cell>
          <cell r="K1062" t="str">
            <v>白馬乗鞍浄化センター</v>
          </cell>
          <cell r="M1062" t="str">
            <v>1</v>
          </cell>
          <cell r="N1062" t="str">
            <v>1</v>
          </cell>
          <cell r="Q1062">
            <v>36617</v>
          </cell>
          <cell r="R1062" t="str">
            <v>平成</v>
          </cell>
          <cell r="S1062">
            <v>12</v>
          </cell>
          <cell r="T1062">
            <v>4</v>
          </cell>
          <cell r="AB1062">
            <v>7352</v>
          </cell>
          <cell r="AC1062" t="str">
            <v>姫川水系</v>
          </cell>
          <cell r="AD1062" t="str">
            <v>Ａ-1</v>
          </cell>
          <cell r="AE1062" t="str">
            <v>イ</v>
          </cell>
          <cell r="AF1062">
            <v>15</v>
          </cell>
          <cell r="AI1062" t="str">
            <v>黒川沢</v>
          </cell>
          <cell r="AK1062" t="str">
            <v>姫川</v>
          </cell>
          <cell r="AQ1062" t="str">
            <v/>
          </cell>
          <cell r="AR1062" t="str">
            <v>回分式活性汚泥法</v>
          </cell>
          <cell r="AS1062" t="str">
            <v>2048602001</v>
          </cell>
          <cell r="AT1062" t="str">
            <v/>
          </cell>
          <cell r="AU1062" t="str">
            <v>10</v>
          </cell>
          <cell r="AV1062" t="str">
            <v>10</v>
          </cell>
          <cell r="AW1062">
            <v>0</v>
          </cell>
          <cell r="AX1062">
            <v>0</v>
          </cell>
          <cell r="AY1062">
            <v>0</v>
          </cell>
          <cell r="AZ1062">
            <v>0</v>
          </cell>
          <cell r="BA1062">
            <v>0</v>
          </cell>
          <cell r="BD1062" t="str">
            <v/>
          </cell>
          <cell r="BE1062">
            <v>1</v>
          </cell>
          <cell r="BG1062" t="str">
            <v>1100</v>
          </cell>
        </row>
        <row r="1063">
          <cell r="B1063" t="str">
            <v>G205430206100100</v>
          </cell>
          <cell r="C1063" t="str">
            <v>20.長野県</v>
          </cell>
          <cell r="D1063" t="str">
            <v>543</v>
          </cell>
          <cell r="E1063" t="str">
            <v>高山村</v>
          </cell>
          <cell r="F1063" t="str">
            <v>02</v>
          </cell>
          <cell r="G1063" t="str">
            <v>特環 単独</v>
          </cell>
          <cell r="H1063" t="str">
            <v>特定環境保全公共下水道</v>
          </cell>
          <cell r="I1063" t="str">
            <v>単独</v>
          </cell>
          <cell r="J1063" t="str">
            <v>001</v>
          </cell>
          <cell r="K1063" t="str">
            <v>山田温泉浄化センター</v>
          </cell>
          <cell r="M1063" t="str">
            <v>1</v>
          </cell>
          <cell r="N1063" t="str">
            <v>1</v>
          </cell>
          <cell r="Q1063">
            <v>36982</v>
          </cell>
          <cell r="R1063" t="str">
            <v>平成</v>
          </cell>
          <cell r="S1063">
            <v>13</v>
          </cell>
          <cell r="T1063">
            <v>4</v>
          </cell>
          <cell r="AB1063">
            <v>1979</v>
          </cell>
          <cell r="AC1063" t="str">
            <v>設定なし</v>
          </cell>
          <cell r="AF1063">
            <v>15</v>
          </cell>
          <cell r="AG1063">
            <v>20</v>
          </cell>
          <cell r="AI1063" t="str">
            <v>鎌田川</v>
          </cell>
          <cell r="AK1063" t="str">
            <v>松川</v>
          </cell>
          <cell r="AL1063" t="str">
            <v>鎌田</v>
          </cell>
          <cell r="AM1063">
            <v>3</v>
          </cell>
          <cell r="AO1063" t="str">
            <v>高山村</v>
          </cell>
          <cell r="AQ1063" t="str">
            <v/>
          </cell>
          <cell r="AR1063" t="str">
            <v>オキシディションディッチ法</v>
          </cell>
          <cell r="AS1063" t="str">
            <v>2054302001</v>
          </cell>
          <cell r="AT1063" t="str">
            <v/>
          </cell>
          <cell r="AU1063" t="str">
            <v>10</v>
          </cell>
          <cell r="AV1063" t="str">
            <v>10</v>
          </cell>
          <cell r="AW1063">
            <v>0</v>
          </cell>
          <cell r="AX1063">
            <v>0</v>
          </cell>
          <cell r="AY1063">
            <v>0</v>
          </cell>
          <cell r="AZ1063">
            <v>0</v>
          </cell>
          <cell r="BA1063">
            <v>0</v>
          </cell>
          <cell r="BD1063" t="str">
            <v/>
          </cell>
          <cell r="BE1063">
            <v>1</v>
          </cell>
          <cell r="BG1063" t="str">
            <v>1100</v>
          </cell>
        </row>
        <row r="1064">
          <cell r="B1064" t="str">
            <v>G205610106100100</v>
          </cell>
          <cell r="C1064" t="str">
            <v>20.長野県</v>
          </cell>
          <cell r="D1064" t="str">
            <v>561</v>
          </cell>
          <cell r="E1064" t="str">
            <v>山ノ内町</v>
          </cell>
          <cell r="F1064" t="str">
            <v>01</v>
          </cell>
          <cell r="G1064" t="str">
            <v>公共 単独</v>
          </cell>
          <cell r="H1064" t="str">
            <v>公共下水道</v>
          </cell>
          <cell r="I1064" t="str">
            <v>単独</v>
          </cell>
          <cell r="J1064" t="str">
            <v>001</v>
          </cell>
          <cell r="K1064" t="str">
            <v>山ノ内町水質浄化センター</v>
          </cell>
          <cell r="M1064" t="str">
            <v>1</v>
          </cell>
          <cell r="N1064" t="str">
            <v>1</v>
          </cell>
          <cell r="Q1064">
            <v>32203</v>
          </cell>
          <cell r="R1064" t="str">
            <v>昭和</v>
          </cell>
          <cell r="S1064">
            <v>63</v>
          </cell>
          <cell r="T1064">
            <v>3</v>
          </cell>
          <cell r="AB1064">
            <v>15890</v>
          </cell>
          <cell r="AC1064" t="str">
            <v>信濃川水系夜間瀬川</v>
          </cell>
          <cell r="AD1064" t="str">
            <v>Ａ</v>
          </cell>
          <cell r="AE1064" t="str">
            <v>ロ</v>
          </cell>
          <cell r="AF1064">
            <v>15</v>
          </cell>
          <cell r="AK1064" t="str">
            <v>夜間瀬川</v>
          </cell>
          <cell r="AQ1064" t="str">
            <v/>
          </cell>
          <cell r="AR1064" t="str">
            <v>標準活性汚泥法</v>
          </cell>
          <cell r="AS1064" t="str">
            <v>2056101001</v>
          </cell>
          <cell r="AT1064" t="str">
            <v/>
          </cell>
          <cell r="AU1064" t="str">
            <v>10</v>
          </cell>
          <cell r="AV1064" t="str">
            <v>10</v>
          </cell>
          <cell r="AW1064">
            <v>0</v>
          </cell>
          <cell r="AX1064">
            <v>0</v>
          </cell>
          <cell r="AY1064">
            <v>0</v>
          </cell>
          <cell r="AZ1064">
            <v>0</v>
          </cell>
          <cell r="BA1064">
            <v>0</v>
          </cell>
          <cell r="BD1064" t="str">
            <v/>
          </cell>
          <cell r="BE1064">
            <v>1</v>
          </cell>
          <cell r="BG1064" t="str">
            <v>1100</v>
          </cell>
        </row>
        <row r="1065">
          <cell r="B1065" t="str">
            <v>G205620206100100</v>
          </cell>
          <cell r="C1065" t="str">
            <v>20.長野県</v>
          </cell>
          <cell r="D1065" t="str">
            <v>562</v>
          </cell>
          <cell r="E1065" t="str">
            <v>木島平村</v>
          </cell>
          <cell r="F1065" t="str">
            <v>02</v>
          </cell>
          <cell r="G1065" t="str">
            <v>特環 単独</v>
          </cell>
          <cell r="H1065" t="str">
            <v>特定環境保全公共下水道</v>
          </cell>
          <cell r="I1065" t="str">
            <v>単独</v>
          </cell>
          <cell r="J1065" t="str">
            <v>001</v>
          </cell>
          <cell r="K1065" t="str">
            <v>木島平浄化センター</v>
          </cell>
          <cell r="M1065" t="str">
            <v>1</v>
          </cell>
          <cell r="N1065" t="str">
            <v>1</v>
          </cell>
          <cell r="Q1065">
            <v>34608</v>
          </cell>
          <cell r="R1065" t="str">
            <v>平成</v>
          </cell>
          <cell r="S1065">
            <v>6</v>
          </cell>
          <cell r="T1065">
            <v>10</v>
          </cell>
          <cell r="AB1065">
            <v>12000</v>
          </cell>
          <cell r="AC1065" t="str">
            <v>信濃川上流（３）</v>
          </cell>
          <cell r="AD1065" t="str">
            <v>Ａ</v>
          </cell>
          <cell r="AE1065" t="str">
            <v>ロ</v>
          </cell>
          <cell r="AF1065">
            <v>15</v>
          </cell>
          <cell r="AK1065" t="str">
            <v>樽川</v>
          </cell>
          <cell r="AL1065" t="str">
            <v>小千谷市</v>
          </cell>
          <cell r="AN1065">
            <v>71</v>
          </cell>
          <cell r="AO1065" t="str">
            <v>新潟県小千谷市</v>
          </cell>
          <cell r="AQ1065" t="str">
            <v/>
          </cell>
          <cell r="AR1065" t="str">
            <v>回分式活性汚泥法</v>
          </cell>
          <cell r="AS1065" t="str">
            <v>2056202001</v>
          </cell>
          <cell r="AT1065" t="str">
            <v/>
          </cell>
          <cell r="AU1065" t="str">
            <v>10</v>
          </cell>
          <cell r="AV1065" t="str">
            <v>10</v>
          </cell>
          <cell r="AW1065">
            <v>0</v>
          </cell>
          <cell r="AX1065">
            <v>0</v>
          </cell>
          <cell r="AY1065">
            <v>0</v>
          </cell>
          <cell r="AZ1065">
            <v>0</v>
          </cell>
          <cell r="BA1065">
            <v>0</v>
          </cell>
          <cell r="BD1065" t="str">
            <v/>
          </cell>
          <cell r="BE1065">
            <v>1</v>
          </cell>
          <cell r="BG1065" t="str">
            <v>1100</v>
          </cell>
        </row>
        <row r="1066">
          <cell r="B1066" t="str">
            <v>G205630106100100</v>
          </cell>
          <cell r="C1066" t="str">
            <v>20.長野県</v>
          </cell>
          <cell r="D1066" t="str">
            <v>563</v>
          </cell>
          <cell r="E1066" t="str">
            <v>野沢温泉村</v>
          </cell>
          <cell r="F1066" t="str">
            <v>01</v>
          </cell>
          <cell r="G1066" t="str">
            <v>公共 単独</v>
          </cell>
          <cell r="H1066" t="str">
            <v>公共下水道</v>
          </cell>
          <cell r="I1066" t="str">
            <v>単独</v>
          </cell>
          <cell r="J1066" t="str">
            <v>001</v>
          </cell>
          <cell r="K1066" t="str">
            <v>野沢温泉終末処理場</v>
          </cell>
          <cell r="M1066" t="str">
            <v>1</v>
          </cell>
          <cell r="N1066" t="str">
            <v>1</v>
          </cell>
          <cell r="O1066" t="str">
            <v>1</v>
          </cell>
          <cell r="Q1066">
            <v>22981</v>
          </cell>
          <cell r="R1066" t="str">
            <v>昭和</v>
          </cell>
          <cell r="S1066">
            <v>37</v>
          </cell>
          <cell r="T1066">
            <v>12</v>
          </cell>
          <cell r="AB1066">
            <v>20523</v>
          </cell>
          <cell r="AC1066" t="str">
            <v>信濃川上流(３)</v>
          </cell>
          <cell r="AD1066" t="str">
            <v>Ａ</v>
          </cell>
          <cell r="AE1066" t="str">
            <v>ロ</v>
          </cell>
          <cell r="AF1066">
            <v>15</v>
          </cell>
          <cell r="AK1066" t="str">
            <v>湯沢川</v>
          </cell>
          <cell r="AL1066" t="str">
            <v>長峰浄水取水門</v>
          </cell>
          <cell r="AM1066">
            <v>10</v>
          </cell>
          <cell r="AQ1066" t="str">
            <v/>
          </cell>
          <cell r="AR1066" t="str">
            <v>回転生物接触法</v>
          </cell>
          <cell r="AS1066" t="str">
            <v>2056301001</v>
          </cell>
          <cell r="AT1066" t="str">
            <v/>
          </cell>
          <cell r="AU1066" t="str">
            <v>11</v>
          </cell>
          <cell r="AV1066" t="str">
            <v>10</v>
          </cell>
          <cell r="AW1066">
            <v>0</v>
          </cell>
          <cell r="AX1066">
            <v>0</v>
          </cell>
          <cell r="AY1066">
            <v>-1</v>
          </cell>
          <cell r="AZ1066">
            <v>0</v>
          </cell>
          <cell r="BA1066">
            <v>1</v>
          </cell>
          <cell r="BC1066" t="str">
            <v>コンポスト休止</v>
          </cell>
          <cell r="BD1066" t="str">
            <v>コンポスト休止</v>
          </cell>
          <cell r="BE1066">
            <v>1</v>
          </cell>
          <cell r="BG1066" t="str">
            <v>1110</v>
          </cell>
        </row>
        <row r="1067">
          <cell r="B1067" t="str">
            <v>G205830106100100</v>
          </cell>
          <cell r="C1067" t="str">
            <v>20.長野県</v>
          </cell>
          <cell r="D1067" t="str">
            <v>583</v>
          </cell>
          <cell r="E1067" t="str">
            <v>信濃町</v>
          </cell>
          <cell r="F1067" t="str">
            <v>01</v>
          </cell>
          <cell r="G1067" t="str">
            <v>公共 単独</v>
          </cell>
          <cell r="H1067" t="str">
            <v>公共下水道</v>
          </cell>
          <cell r="I1067" t="str">
            <v>単独</v>
          </cell>
          <cell r="J1067" t="str">
            <v>001</v>
          </cell>
          <cell r="K1067" t="str">
            <v>北部浄化センター</v>
          </cell>
          <cell r="M1067" t="str">
            <v>1</v>
          </cell>
          <cell r="N1067" t="str">
            <v>1</v>
          </cell>
          <cell r="Q1067">
            <v>34759</v>
          </cell>
          <cell r="R1067" t="str">
            <v>平成</v>
          </cell>
          <cell r="S1067">
            <v>7</v>
          </cell>
          <cell r="T1067">
            <v>3</v>
          </cell>
          <cell r="AB1067">
            <v>26100</v>
          </cell>
          <cell r="AC1067" t="str">
            <v>関川</v>
          </cell>
          <cell r="AD1067" t="str">
            <v>Ａ</v>
          </cell>
          <cell r="AE1067" t="str">
            <v>イ</v>
          </cell>
          <cell r="AF1067">
            <v>15</v>
          </cell>
          <cell r="AK1067" t="str">
            <v>赤川</v>
          </cell>
          <cell r="AQ1067" t="str">
            <v/>
          </cell>
          <cell r="AR1067" t="str">
            <v>回分式活性汚泥法</v>
          </cell>
          <cell r="AS1067" t="str">
            <v>2058301001</v>
          </cell>
          <cell r="AT1067" t="str">
            <v/>
          </cell>
          <cell r="AU1067" t="str">
            <v>10</v>
          </cell>
          <cell r="AV1067" t="str">
            <v>10</v>
          </cell>
          <cell r="AW1067">
            <v>0</v>
          </cell>
          <cell r="AX1067">
            <v>0</v>
          </cell>
          <cell r="AY1067">
            <v>0</v>
          </cell>
          <cell r="AZ1067">
            <v>0</v>
          </cell>
          <cell r="BA1067">
            <v>0</v>
          </cell>
          <cell r="BD1067" t="str">
            <v/>
          </cell>
          <cell r="BE1067">
            <v>1</v>
          </cell>
          <cell r="BG1067" t="str">
            <v>1100</v>
          </cell>
        </row>
        <row r="1068">
          <cell r="B1068" t="str">
            <v>G205830106100200</v>
          </cell>
          <cell r="C1068" t="str">
            <v>20.長野県</v>
          </cell>
          <cell r="D1068" t="str">
            <v>583</v>
          </cell>
          <cell r="E1068" t="str">
            <v>信濃町</v>
          </cell>
          <cell r="F1068" t="str">
            <v>01</v>
          </cell>
          <cell r="G1068" t="str">
            <v>公共 単独</v>
          </cell>
          <cell r="H1068" t="str">
            <v>公共下水道</v>
          </cell>
          <cell r="I1068" t="str">
            <v>単独</v>
          </cell>
          <cell r="J1068" t="str">
            <v>002</v>
          </cell>
          <cell r="K1068" t="str">
            <v>柏原浄化センター</v>
          </cell>
          <cell r="M1068" t="str">
            <v>1</v>
          </cell>
          <cell r="N1068" t="str">
            <v>1</v>
          </cell>
          <cell r="Q1068">
            <v>39173</v>
          </cell>
          <cell r="R1068" t="str">
            <v>平成</v>
          </cell>
          <cell r="S1068">
            <v>19</v>
          </cell>
          <cell r="T1068">
            <v>4</v>
          </cell>
          <cell r="AB1068">
            <v>15433</v>
          </cell>
          <cell r="AC1068" t="str">
            <v>鳥居川</v>
          </cell>
          <cell r="AD1068" t="str">
            <v>Ａ</v>
          </cell>
          <cell r="AE1068" t="str">
            <v>イ</v>
          </cell>
          <cell r="AF1068">
            <v>15</v>
          </cell>
          <cell r="AI1068" t="str">
            <v>佐助沢川</v>
          </cell>
          <cell r="AK1068" t="str">
            <v>鳥居川</v>
          </cell>
          <cell r="AL1068" t="str">
            <v>飯綱水道課</v>
          </cell>
          <cell r="AN1068">
            <v>8</v>
          </cell>
          <cell r="AQ1068" t="str">
            <v/>
          </cell>
          <cell r="AR1068" t="str">
            <v>オキシディションディッチ法</v>
          </cell>
          <cell r="AS1068" t="str">
            <v>2058301002</v>
          </cell>
          <cell r="AT1068" t="str">
            <v/>
          </cell>
          <cell r="AU1068" t="str">
            <v>10</v>
          </cell>
          <cell r="AV1068" t="str">
            <v>10</v>
          </cell>
          <cell r="AW1068">
            <v>0</v>
          </cell>
          <cell r="AX1068">
            <v>0</v>
          </cell>
          <cell r="AY1068">
            <v>0</v>
          </cell>
          <cell r="AZ1068">
            <v>0</v>
          </cell>
          <cell r="BA1068">
            <v>0</v>
          </cell>
          <cell r="BD1068" t="str">
            <v/>
          </cell>
          <cell r="BE1068">
            <v>1</v>
          </cell>
          <cell r="BG1068" t="str">
            <v>1100</v>
          </cell>
        </row>
        <row r="1069">
          <cell r="B1069" t="str">
            <v>G205880206100100</v>
          </cell>
          <cell r="C1069" t="str">
            <v>20.長野県</v>
          </cell>
          <cell r="D1069" t="str">
            <v>588</v>
          </cell>
          <cell r="E1069" t="str">
            <v>小川村</v>
          </cell>
          <cell r="F1069" t="str">
            <v>02</v>
          </cell>
          <cell r="G1069" t="str">
            <v>特環 単独</v>
          </cell>
          <cell r="H1069" t="str">
            <v>特定環境保全公共下水道</v>
          </cell>
          <cell r="I1069" t="str">
            <v>単独</v>
          </cell>
          <cell r="J1069" t="str">
            <v>001</v>
          </cell>
          <cell r="K1069" t="str">
            <v>高府浄化センター</v>
          </cell>
          <cell r="M1069" t="str">
            <v>1</v>
          </cell>
          <cell r="N1069" t="str">
            <v>1</v>
          </cell>
          <cell r="Q1069">
            <v>35034</v>
          </cell>
          <cell r="R1069" t="str">
            <v>平成</v>
          </cell>
          <cell r="S1069">
            <v>7</v>
          </cell>
          <cell r="T1069">
            <v>12</v>
          </cell>
          <cell r="AB1069">
            <v>4377</v>
          </cell>
          <cell r="AC1069" t="str">
            <v>犀川（3）</v>
          </cell>
          <cell r="AD1069" t="str">
            <v>Ａ</v>
          </cell>
          <cell r="AE1069" t="str">
            <v>ロ</v>
          </cell>
          <cell r="AJ1069" t="str">
            <v>二反田沢</v>
          </cell>
          <cell r="AK1069" t="str">
            <v>土尻川</v>
          </cell>
          <cell r="AQ1069" t="str">
            <v/>
          </cell>
          <cell r="AR1069" t="str">
            <v>土壌被覆型礫間接触法</v>
          </cell>
          <cell r="AS1069" t="str">
            <v>2058802001</v>
          </cell>
          <cell r="AT1069" t="str">
            <v/>
          </cell>
          <cell r="AU1069" t="str">
            <v>10</v>
          </cell>
          <cell r="AV1069" t="str">
            <v>10</v>
          </cell>
          <cell r="AW1069">
            <v>0</v>
          </cell>
          <cell r="AX1069">
            <v>0</v>
          </cell>
          <cell r="AY1069">
            <v>0</v>
          </cell>
          <cell r="AZ1069">
            <v>0</v>
          </cell>
          <cell r="BA1069">
            <v>0</v>
          </cell>
          <cell r="BD1069" t="str">
            <v/>
          </cell>
          <cell r="BE1069">
            <v>1</v>
          </cell>
          <cell r="BG1069" t="str">
            <v>1100</v>
          </cell>
        </row>
        <row r="1070">
          <cell r="B1070" t="str">
            <v>G205880206100200</v>
          </cell>
          <cell r="C1070" t="str">
            <v>20.長野県</v>
          </cell>
          <cell r="D1070" t="str">
            <v>588</v>
          </cell>
          <cell r="E1070" t="str">
            <v>小川村</v>
          </cell>
          <cell r="F1070" t="str">
            <v>02</v>
          </cell>
          <cell r="G1070" t="str">
            <v>特環 単独</v>
          </cell>
          <cell r="H1070" t="str">
            <v>特定環境保全公共下水道</v>
          </cell>
          <cell r="I1070" t="str">
            <v>単独</v>
          </cell>
          <cell r="J1070" t="str">
            <v>002</v>
          </cell>
          <cell r="K1070" t="str">
            <v>夏和浄化センター</v>
          </cell>
          <cell r="M1070" t="str">
            <v>1</v>
          </cell>
          <cell r="N1070" t="str">
            <v>1</v>
          </cell>
          <cell r="Q1070">
            <v>36100</v>
          </cell>
          <cell r="R1070" t="str">
            <v>平成</v>
          </cell>
          <cell r="S1070">
            <v>10</v>
          </cell>
          <cell r="T1070">
            <v>11</v>
          </cell>
          <cell r="AB1070">
            <v>3535</v>
          </cell>
          <cell r="AC1070" t="str">
            <v>犀川（3）</v>
          </cell>
          <cell r="AD1070" t="str">
            <v>Ａ</v>
          </cell>
          <cell r="AE1070" t="str">
            <v>ロ</v>
          </cell>
          <cell r="AI1070" t="str">
            <v>農業用排水路</v>
          </cell>
          <cell r="AK1070" t="str">
            <v>土尻川</v>
          </cell>
          <cell r="AQ1070" t="str">
            <v/>
          </cell>
          <cell r="AR1070" t="str">
            <v>土壌被覆型礫間接触法</v>
          </cell>
          <cell r="AS1070" t="str">
            <v>2058802002</v>
          </cell>
          <cell r="AT1070" t="str">
            <v/>
          </cell>
          <cell r="AU1070" t="str">
            <v>10</v>
          </cell>
          <cell r="AV1070" t="str">
            <v>10</v>
          </cell>
          <cell r="AW1070">
            <v>0</v>
          </cell>
          <cell r="AX1070">
            <v>0</v>
          </cell>
          <cell r="AY1070">
            <v>0</v>
          </cell>
          <cell r="AZ1070">
            <v>0</v>
          </cell>
          <cell r="BA1070">
            <v>0</v>
          </cell>
          <cell r="BD1070" t="str">
            <v/>
          </cell>
          <cell r="BE1070">
            <v>1</v>
          </cell>
          <cell r="BG1070" t="str">
            <v>1100</v>
          </cell>
        </row>
        <row r="1071">
          <cell r="B1071" t="str">
            <v>G205900206100100</v>
          </cell>
          <cell r="C1071" t="str">
            <v>20.長野県</v>
          </cell>
          <cell r="D1071" t="str">
            <v>590</v>
          </cell>
          <cell r="E1071" t="str">
            <v>飯綱町</v>
          </cell>
          <cell r="F1071" t="str">
            <v>02</v>
          </cell>
          <cell r="G1071" t="str">
            <v>特環 単独</v>
          </cell>
          <cell r="H1071" t="str">
            <v>特定環境保全公共下水道</v>
          </cell>
          <cell r="I1071" t="str">
            <v>単独</v>
          </cell>
          <cell r="J1071" t="str">
            <v>001</v>
          </cell>
          <cell r="K1071" t="str">
            <v>クリーン飯綱</v>
          </cell>
          <cell r="M1071" t="str">
            <v>1</v>
          </cell>
          <cell r="N1071" t="str">
            <v>1</v>
          </cell>
          <cell r="Q1071">
            <v>36250</v>
          </cell>
          <cell r="R1071" t="str">
            <v>平成</v>
          </cell>
          <cell r="S1071">
            <v>11</v>
          </cell>
          <cell r="T1071">
            <v>3</v>
          </cell>
          <cell r="AB1071">
            <v>13100</v>
          </cell>
          <cell r="AD1071" t="str">
            <v>Ａ</v>
          </cell>
          <cell r="AE1071" t="str">
            <v>イ</v>
          </cell>
          <cell r="AF1071">
            <v>15</v>
          </cell>
          <cell r="AK1071" t="str">
            <v>鳥居川</v>
          </cell>
          <cell r="AL1071" t="str">
            <v>芋川用水頭首口</v>
          </cell>
          <cell r="AM1071">
            <v>5</v>
          </cell>
          <cell r="AQ1071" t="str">
            <v/>
          </cell>
          <cell r="AR1071" t="str">
            <v>オキシディションディッチ法</v>
          </cell>
          <cell r="AS1071" t="str">
            <v>2059002001</v>
          </cell>
          <cell r="AT1071" t="str">
            <v/>
          </cell>
          <cell r="AU1071" t="str">
            <v>10</v>
          </cell>
          <cell r="AV1071" t="str">
            <v>10</v>
          </cell>
          <cell r="AW1071">
            <v>0</v>
          </cell>
          <cell r="AX1071">
            <v>0</v>
          </cell>
          <cell r="AY1071">
            <v>0</v>
          </cell>
          <cell r="AZ1071">
            <v>0</v>
          </cell>
          <cell r="BA1071">
            <v>0</v>
          </cell>
          <cell r="BD1071" t="str">
            <v/>
          </cell>
          <cell r="BE1071">
            <v>1</v>
          </cell>
          <cell r="BG1071" t="str">
            <v>1100</v>
          </cell>
        </row>
        <row r="1072">
          <cell r="B1072" t="str">
            <v>G208030206100100</v>
          </cell>
          <cell r="C1072" t="str">
            <v>20.長野県</v>
          </cell>
          <cell r="D1072" t="str">
            <v>803</v>
          </cell>
          <cell r="E1072" t="str">
            <v>白樺湖下水道組合</v>
          </cell>
          <cell r="F1072" t="str">
            <v>02</v>
          </cell>
          <cell r="G1072" t="str">
            <v>特環 単独</v>
          </cell>
          <cell r="H1072" t="str">
            <v>特定環境保全公共下水道</v>
          </cell>
          <cell r="I1072" t="str">
            <v>単独</v>
          </cell>
          <cell r="J1072" t="str">
            <v>001</v>
          </cell>
          <cell r="K1072" t="str">
            <v>白樺湖浄化センター</v>
          </cell>
          <cell r="M1072" t="str">
            <v>1</v>
          </cell>
          <cell r="N1072" t="str">
            <v>1</v>
          </cell>
          <cell r="O1072" t="str">
            <v>1</v>
          </cell>
          <cell r="Q1072">
            <v>29646</v>
          </cell>
          <cell r="R1072" t="str">
            <v>昭和</v>
          </cell>
          <cell r="S1072">
            <v>56</v>
          </cell>
          <cell r="T1072">
            <v>3</v>
          </cell>
          <cell r="AB1072">
            <v>20000</v>
          </cell>
          <cell r="AC1072" t="str">
            <v>上川</v>
          </cell>
          <cell r="AD1072" t="str">
            <v>Ａ</v>
          </cell>
          <cell r="AE1072" t="str">
            <v>イ</v>
          </cell>
          <cell r="AF1072">
            <v>12</v>
          </cell>
          <cell r="AG1072">
            <v>18</v>
          </cell>
          <cell r="AK1072" t="str">
            <v>音無川</v>
          </cell>
          <cell r="AQ1072" t="str">
            <v/>
          </cell>
          <cell r="AR1072" t="str">
            <v>回転生物接触法</v>
          </cell>
          <cell r="AS1072" t="str">
            <v>2080302001</v>
          </cell>
          <cell r="AT1072" t="str">
            <v/>
          </cell>
          <cell r="AU1072" t="str">
            <v>11</v>
          </cell>
          <cell r="AV1072" t="str">
            <v>10</v>
          </cell>
          <cell r="AW1072">
            <v>0</v>
          </cell>
          <cell r="AX1072">
            <v>0</v>
          </cell>
          <cell r="AY1072">
            <v>-1</v>
          </cell>
          <cell r="AZ1072">
            <v>0</v>
          </cell>
          <cell r="BA1072">
            <v>1</v>
          </cell>
          <cell r="BC1072" t="str">
            <v>コンポスト休止</v>
          </cell>
          <cell r="BD1072" t="str">
            <v>コンポスト休止</v>
          </cell>
          <cell r="BE1072">
            <v>1</v>
          </cell>
          <cell r="BG1072" t="str">
            <v>1110</v>
          </cell>
        </row>
        <row r="1073">
          <cell r="B1073" t="str">
            <v>G208040206100100</v>
          </cell>
          <cell r="C1073" t="str">
            <v>20.長野県</v>
          </cell>
          <cell r="D1073" t="str">
            <v>804</v>
          </cell>
          <cell r="E1073" t="str">
            <v>川西保健衛生施設組合</v>
          </cell>
          <cell r="F1073" t="str">
            <v>02</v>
          </cell>
          <cell r="G1073" t="str">
            <v>特環 単独</v>
          </cell>
          <cell r="H1073" t="str">
            <v>特定環境保全公共下水道</v>
          </cell>
          <cell r="I1073" t="str">
            <v>単独</v>
          </cell>
          <cell r="J1073" t="str">
            <v>001</v>
          </cell>
          <cell r="K1073" t="str">
            <v>茂田井浄化センター</v>
          </cell>
          <cell r="M1073" t="str">
            <v>1</v>
          </cell>
          <cell r="N1073" t="str">
            <v>1</v>
          </cell>
          <cell r="Q1073">
            <v>35156</v>
          </cell>
          <cell r="R1073" t="str">
            <v>平成</v>
          </cell>
          <cell r="S1073">
            <v>8</v>
          </cell>
          <cell r="T1073">
            <v>4</v>
          </cell>
          <cell r="AB1073">
            <v>4503</v>
          </cell>
          <cell r="AC1073" t="str">
            <v>設定なし</v>
          </cell>
          <cell r="AF1073">
            <v>15</v>
          </cell>
          <cell r="AI1073" t="str">
            <v>芦田川</v>
          </cell>
          <cell r="AK1073" t="str">
            <v>鹿曲川</v>
          </cell>
          <cell r="AQ1073" t="str">
            <v/>
          </cell>
          <cell r="AR1073" t="str">
            <v>オキシディションディッチ法</v>
          </cell>
          <cell r="AS1073" t="str">
            <v>2080402001</v>
          </cell>
          <cell r="AT1073" t="str">
            <v/>
          </cell>
          <cell r="AU1073" t="str">
            <v>10</v>
          </cell>
          <cell r="AV1073" t="str">
            <v>10</v>
          </cell>
          <cell r="AW1073">
            <v>0</v>
          </cell>
          <cell r="AX1073">
            <v>0</v>
          </cell>
          <cell r="AY1073">
            <v>0</v>
          </cell>
          <cell r="AZ1073">
            <v>0</v>
          </cell>
          <cell r="BA1073">
            <v>0</v>
          </cell>
          <cell r="BD1073" t="str">
            <v/>
          </cell>
          <cell r="BE1073">
            <v>1</v>
          </cell>
          <cell r="BG1073" t="str">
            <v>1100</v>
          </cell>
        </row>
        <row r="1074">
          <cell r="B1074" t="str">
            <v>G208040206100200</v>
          </cell>
          <cell r="C1074" t="str">
            <v>20.長野県</v>
          </cell>
          <cell r="D1074" t="str">
            <v>804</v>
          </cell>
          <cell r="E1074" t="str">
            <v>川西保健衛生施設組合</v>
          </cell>
          <cell r="F1074" t="str">
            <v>02</v>
          </cell>
          <cell r="G1074" t="str">
            <v>特環 単独</v>
          </cell>
          <cell r="H1074" t="str">
            <v>特定環境保全公共下水道</v>
          </cell>
          <cell r="I1074" t="str">
            <v>単独</v>
          </cell>
          <cell r="J1074" t="str">
            <v>002</v>
          </cell>
          <cell r="K1074" t="str">
            <v>川西広域処理場</v>
          </cell>
          <cell r="M1074" t="str">
            <v>1</v>
          </cell>
          <cell r="N1074" t="str">
            <v>1</v>
          </cell>
          <cell r="O1074" t="str">
            <v>1</v>
          </cell>
          <cell r="Q1074">
            <v>36434</v>
          </cell>
          <cell r="R1074" t="str">
            <v>平成</v>
          </cell>
          <cell r="S1074">
            <v>11</v>
          </cell>
          <cell r="T1074">
            <v>10</v>
          </cell>
          <cell r="V1074">
            <v>39882</v>
          </cell>
          <cell r="W1074" t="str">
            <v>平成</v>
          </cell>
          <cell r="X1074">
            <v>21</v>
          </cell>
          <cell r="Y1074">
            <v>3</v>
          </cell>
          <cell r="AB1074">
            <v>3000</v>
          </cell>
          <cell r="AF1074">
            <v>10</v>
          </cell>
          <cell r="AK1074" t="str">
            <v>芦田川</v>
          </cell>
          <cell r="AQ1074" t="str">
            <v/>
          </cell>
          <cell r="AR1074" t="str">
            <v>標準活性汚泥法</v>
          </cell>
          <cell r="AS1074" t="str">
            <v>2080402002</v>
          </cell>
          <cell r="AT1074" t="str">
            <v/>
          </cell>
          <cell r="AU1074" t="str">
            <v>11</v>
          </cell>
          <cell r="AV1074" t="str">
            <v>10</v>
          </cell>
          <cell r="AW1074">
            <v>0</v>
          </cell>
          <cell r="AX1074">
            <v>0</v>
          </cell>
          <cell r="AY1074">
            <v>-1</v>
          </cell>
          <cell r="AZ1074">
            <v>0</v>
          </cell>
          <cell r="BA1074">
            <v>1</v>
          </cell>
          <cell r="BC1074" t="str">
            <v>コンポスト休止</v>
          </cell>
          <cell r="BD1074" t="str">
            <v>コンポスト休止</v>
          </cell>
          <cell r="BE1074">
            <v>1</v>
          </cell>
          <cell r="BG1074" t="str">
            <v>1110</v>
          </cell>
        </row>
        <row r="1075">
          <cell r="B1075" t="str">
            <v>G208050106100100</v>
          </cell>
          <cell r="C1075" t="str">
            <v>20.長野県</v>
          </cell>
          <cell r="D1075" t="str">
            <v>805</v>
          </cell>
          <cell r="E1075" t="str">
            <v>南佐久環境衛生組合</v>
          </cell>
          <cell r="F1075" t="str">
            <v>01</v>
          </cell>
          <cell r="G1075" t="str">
            <v>公共 単独</v>
          </cell>
          <cell r="H1075" t="str">
            <v>公共下水道</v>
          </cell>
          <cell r="I1075" t="str">
            <v>単独</v>
          </cell>
          <cell r="J1075" t="str">
            <v>001</v>
          </cell>
          <cell r="K1075" t="str">
            <v>南佐久浄化センター</v>
          </cell>
          <cell r="M1075" t="str">
            <v>1</v>
          </cell>
          <cell r="N1075" t="str">
            <v>1</v>
          </cell>
          <cell r="Q1075">
            <v>36617</v>
          </cell>
          <cell r="R1075" t="str">
            <v>平成</v>
          </cell>
          <cell r="S1075">
            <v>12</v>
          </cell>
          <cell r="T1075">
            <v>4</v>
          </cell>
          <cell r="AB1075">
            <v>24700</v>
          </cell>
          <cell r="AC1075" t="str">
            <v>信濃川上流(千曲川）</v>
          </cell>
          <cell r="AD1075" t="str">
            <v>Ａ</v>
          </cell>
          <cell r="AE1075" t="str">
            <v>イ</v>
          </cell>
          <cell r="AK1075" t="str">
            <v>千曲川</v>
          </cell>
          <cell r="AQ1075" t="str">
            <v/>
          </cell>
          <cell r="AR1075" t="str">
            <v>オキシディションディッチ法</v>
          </cell>
          <cell r="AS1075" t="str">
            <v>2080501001</v>
          </cell>
          <cell r="AT1075" t="str">
            <v/>
          </cell>
          <cell r="AU1075" t="str">
            <v>10</v>
          </cell>
          <cell r="AV1075" t="str">
            <v>10</v>
          </cell>
          <cell r="AW1075">
            <v>0</v>
          </cell>
          <cell r="AX1075">
            <v>0</v>
          </cell>
          <cell r="AY1075">
            <v>0</v>
          </cell>
          <cell r="AZ1075">
            <v>0</v>
          </cell>
          <cell r="BA1075">
            <v>0</v>
          </cell>
          <cell r="BD1075" t="str">
            <v/>
          </cell>
          <cell r="BE1075">
            <v>1</v>
          </cell>
          <cell r="BG1075" t="str">
            <v>1100</v>
          </cell>
        </row>
        <row r="1076">
          <cell r="B1076" t="str">
            <v>G208070106100100</v>
          </cell>
          <cell r="C1076" t="str">
            <v>20.長野県</v>
          </cell>
          <cell r="D1076" t="str">
            <v>807</v>
          </cell>
          <cell r="E1076" t="str">
            <v>木曽広域連合</v>
          </cell>
          <cell r="F1076" t="str">
            <v>01</v>
          </cell>
          <cell r="G1076" t="str">
            <v>公共 単独</v>
          </cell>
          <cell r="H1076" t="str">
            <v>公共下水道</v>
          </cell>
          <cell r="I1076" t="str">
            <v>単独</v>
          </cell>
          <cell r="J1076" t="str">
            <v>001</v>
          </cell>
          <cell r="K1076" t="str">
            <v>汚泥集約センター</v>
          </cell>
          <cell r="N1076" t="str">
            <v>1</v>
          </cell>
          <cell r="Q1076">
            <v>37956</v>
          </cell>
          <cell r="R1076" t="str">
            <v>平成</v>
          </cell>
          <cell r="S1076">
            <v>15</v>
          </cell>
          <cell r="T1076">
            <v>12</v>
          </cell>
          <cell r="AB1076">
            <v>3429</v>
          </cell>
          <cell r="AC1076" t="str">
            <v>該当しない</v>
          </cell>
          <cell r="AI1076" t="str">
            <v>該当しない</v>
          </cell>
          <cell r="AQ1076" t="str">
            <v/>
          </cell>
          <cell r="AR1076" t="str">
            <v/>
          </cell>
          <cell r="AS1076" t="str">
            <v>2080701001</v>
          </cell>
          <cell r="AT1076" t="str">
            <v/>
          </cell>
          <cell r="AU1076" t="str">
            <v>10</v>
          </cell>
          <cell r="AV1076" t="str">
            <v>10</v>
          </cell>
          <cell r="AW1076">
            <v>0</v>
          </cell>
          <cell r="AX1076">
            <v>0</v>
          </cell>
          <cell r="AY1076">
            <v>0</v>
          </cell>
          <cell r="AZ1076">
            <v>0</v>
          </cell>
          <cell r="BA1076">
            <v>0</v>
          </cell>
          <cell r="BD1076" t="str">
            <v/>
          </cell>
          <cell r="BE1076">
            <v>1</v>
          </cell>
          <cell r="BG1076" t="str">
            <v>0100</v>
          </cell>
        </row>
        <row r="1077">
          <cell r="B1077" t="str">
            <v>G210018106100100</v>
          </cell>
          <cell r="C1077" t="str">
            <v>21.岐阜県</v>
          </cell>
          <cell r="D1077" t="str">
            <v>001</v>
          </cell>
          <cell r="E1077" t="str">
            <v>木曽川右岸流域</v>
          </cell>
          <cell r="F1077" t="str">
            <v>81</v>
          </cell>
          <cell r="G1077" t="str">
            <v>流域</v>
          </cell>
          <cell r="H1077" t="str">
            <v>流域下水道</v>
          </cell>
          <cell r="I1077" t="str">
            <v/>
          </cell>
          <cell r="J1077" t="str">
            <v>001</v>
          </cell>
          <cell r="K1077" t="str">
            <v>各務原浄化センター</v>
          </cell>
          <cell r="M1077" t="str">
            <v>1</v>
          </cell>
          <cell r="N1077" t="str">
            <v>1</v>
          </cell>
          <cell r="P1077" t="str">
            <v>1</v>
          </cell>
          <cell r="Q1077">
            <v>33329</v>
          </cell>
          <cell r="R1077" t="str">
            <v>平成</v>
          </cell>
          <cell r="S1077">
            <v>3</v>
          </cell>
          <cell r="T1077">
            <v>4</v>
          </cell>
          <cell r="AB1077">
            <v>370000</v>
          </cell>
          <cell r="AC1077" t="str">
            <v>木曽川下流</v>
          </cell>
          <cell r="AD1077" t="str">
            <v>Ａ</v>
          </cell>
          <cell r="AE1077" t="str">
            <v>イ</v>
          </cell>
          <cell r="AF1077">
            <v>10.199999999999999</v>
          </cell>
          <cell r="AG1077">
            <v>15</v>
          </cell>
          <cell r="AH1077">
            <v>1.5</v>
          </cell>
          <cell r="AK1077" t="str">
            <v>木曽川</v>
          </cell>
          <cell r="AL1077" t="str">
            <v>朝日取水場</v>
          </cell>
          <cell r="AN1077">
            <v>19.899999999999999</v>
          </cell>
          <cell r="AO1077" t="str">
            <v>名古屋市</v>
          </cell>
          <cell r="AQ1077" t="str">
            <v/>
          </cell>
          <cell r="AR1077" t="str">
            <v>嫌気無酸素好気法</v>
          </cell>
          <cell r="AS1077" t="str">
            <v>2100181001</v>
          </cell>
          <cell r="AT1077" t="str">
            <v/>
          </cell>
          <cell r="AU1077" t="str">
            <v>10</v>
          </cell>
          <cell r="AV1077" t="str">
            <v>10</v>
          </cell>
          <cell r="AW1077">
            <v>1</v>
          </cell>
          <cell r="AX1077">
            <v>0</v>
          </cell>
          <cell r="AY1077">
            <v>0</v>
          </cell>
          <cell r="AZ1077">
            <v>0</v>
          </cell>
          <cell r="BA1077">
            <v>0</v>
          </cell>
          <cell r="BD1077" t="str">
            <v/>
          </cell>
          <cell r="BE1077">
            <v>1</v>
          </cell>
          <cell r="BG1077" t="str">
            <v>1101</v>
          </cell>
        </row>
        <row r="1078">
          <cell r="B1078" t="str">
            <v>G212010106100100</v>
          </cell>
          <cell r="C1078" t="str">
            <v>21.岐阜県</v>
          </cell>
          <cell r="D1078" t="str">
            <v>201</v>
          </cell>
          <cell r="E1078" t="str">
            <v>岐阜市</v>
          </cell>
          <cell r="F1078" t="str">
            <v>01</v>
          </cell>
          <cell r="G1078" t="str">
            <v>公共 単独</v>
          </cell>
          <cell r="H1078" t="str">
            <v>公共下水道</v>
          </cell>
          <cell r="I1078" t="str">
            <v>単独</v>
          </cell>
          <cell r="J1078" t="str">
            <v>001</v>
          </cell>
          <cell r="K1078" t="str">
            <v>中部プラント</v>
          </cell>
          <cell r="M1078" t="str">
            <v>1</v>
          </cell>
          <cell r="N1078" t="str">
            <v>1</v>
          </cell>
          <cell r="Q1078">
            <v>13697</v>
          </cell>
          <cell r="R1078" t="str">
            <v>昭和</v>
          </cell>
          <cell r="S1078">
            <v>12</v>
          </cell>
          <cell r="T1078">
            <v>7</v>
          </cell>
          <cell r="AB1078">
            <v>22000</v>
          </cell>
          <cell r="AC1078" t="str">
            <v>境川下流</v>
          </cell>
          <cell r="AD1078" t="str">
            <v>Ｃ</v>
          </cell>
          <cell r="AE1078" t="str">
            <v>イ</v>
          </cell>
          <cell r="AF1078">
            <v>15</v>
          </cell>
          <cell r="AG1078">
            <v>20</v>
          </cell>
          <cell r="AH1078">
            <v>1.5</v>
          </cell>
          <cell r="AK1078" t="str">
            <v>新荒田川</v>
          </cell>
          <cell r="AQ1078" t="str">
            <v/>
          </cell>
          <cell r="AR1078" t="str">
            <v>嫌気好気活性汚泥法</v>
          </cell>
          <cell r="AS1078" t="str">
            <v>2120101001</v>
          </cell>
          <cell r="AT1078" t="str">
            <v/>
          </cell>
          <cell r="AU1078" t="str">
            <v>10</v>
          </cell>
          <cell r="AV1078" t="str">
            <v>10</v>
          </cell>
          <cell r="AW1078">
            <v>0</v>
          </cell>
          <cell r="AX1078">
            <v>0</v>
          </cell>
          <cell r="AY1078">
            <v>0</v>
          </cell>
          <cell r="AZ1078">
            <v>0</v>
          </cell>
          <cell r="BA1078">
            <v>0</v>
          </cell>
          <cell r="BD1078" t="str">
            <v/>
          </cell>
          <cell r="BE1078">
            <v>1</v>
          </cell>
          <cell r="BG1078" t="str">
            <v>1100</v>
          </cell>
        </row>
        <row r="1079">
          <cell r="B1079" t="str">
            <v>G212010106100200</v>
          </cell>
          <cell r="C1079" t="str">
            <v>21.岐阜県</v>
          </cell>
          <cell r="D1079" t="str">
            <v>201</v>
          </cell>
          <cell r="E1079" t="str">
            <v>岐阜市</v>
          </cell>
          <cell r="F1079" t="str">
            <v>01</v>
          </cell>
          <cell r="G1079" t="str">
            <v>公共 単独</v>
          </cell>
          <cell r="H1079" t="str">
            <v>公共下水道</v>
          </cell>
          <cell r="I1079" t="str">
            <v>単独</v>
          </cell>
          <cell r="J1079" t="str">
            <v>002</v>
          </cell>
          <cell r="K1079" t="str">
            <v>北部プラント</v>
          </cell>
          <cell r="M1079" t="str">
            <v>1</v>
          </cell>
          <cell r="N1079" t="str">
            <v>1</v>
          </cell>
          <cell r="O1079" t="str">
            <v>1</v>
          </cell>
          <cell r="Q1079">
            <v>24289</v>
          </cell>
          <cell r="R1079" t="str">
            <v>昭和</v>
          </cell>
          <cell r="S1079">
            <v>41</v>
          </cell>
          <cell r="T1079">
            <v>7</v>
          </cell>
          <cell r="AB1079">
            <v>39100</v>
          </cell>
          <cell r="AC1079" t="str">
            <v>伊自良川下流</v>
          </cell>
          <cell r="AD1079" t="str">
            <v>Ｃ</v>
          </cell>
          <cell r="AE1079" t="str">
            <v>イ</v>
          </cell>
          <cell r="AF1079">
            <v>15</v>
          </cell>
          <cell r="AG1079">
            <v>20</v>
          </cell>
          <cell r="AH1079">
            <v>1.5</v>
          </cell>
          <cell r="AK1079" t="str">
            <v>伊自良川</v>
          </cell>
          <cell r="AQ1079" t="str">
            <v/>
          </cell>
          <cell r="AR1079" t="str">
            <v>嫌気好気活性汚泥法</v>
          </cell>
          <cell r="AS1079" t="str">
            <v>2120101002</v>
          </cell>
          <cell r="AT1079" t="str">
            <v/>
          </cell>
          <cell r="AU1079" t="str">
            <v>11</v>
          </cell>
          <cell r="AV1079" t="str">
            <v>10</v>
          </cell>
          <cell r="AW1079">
            <v>0</v>
          </cell>
          <cell r="AX1079">
            <v>0</v>
          </cell>
          <cell r="AY1079">
            <v>-1</v>
          </cell>
          <cell r="AZ1079">
            <v>0</v>
          </cell>
          <cell r="BA1079">
            <v>1</v>
          </cell>
          <cell r="BC1079" t="str">
            <v>リン回収あり</v>
          </cell>
          <cell r="BD1079" t="str">
            <v>リン回収あり</v>
          </cell>
          <cell r="BE1079">
            <v>1</v>
          </cell>
          <cell r="BG1079" t="str">
            <v>1110</v>
          </cell>
        </row>
        <row r="1080">
          <cell r="B1080" t="str">
            <v>G212010106100300</v>
          </cell>
          <cell r="C1080" t="str">
            <v>21.岐阜県</v>
          </cell>
          <cell r="D1080" t="str">
            <v>201</v>
          </cell>
          <cell r="E1080" t="str">
            <v>岐阜市</v>
          </cell>
          <cell r="F1080" t="str">
            <v>01</v>
          </cell>
          <cell r="G1080" t="str">
            <v>公共 単独</v>
          </cell>
          <cell r="H1080" t="str">
            <v>公共下水道</v>
          </cell>
          <cell r="I1080" t="str">
            <v>単独</v>
          </cell>
          <cell r="J1080" t="str">
            <v>003</v>
          </cell>
          <cell r="K1080" t="str">
            <v>南部プラント</v>
          </cell>
          <cell r="M1080" t="str">
            <v>1</v>
          </cell>
          <cell r="N1080" t="str">
            <v>1</v>
          </cell>
          <cell r="Q1080">
            <v>26816</v>
          </cell>
          <cell r="R1080" t="str">
            <v>昭和</v>
          </cell>
          <cell r="S1080">
            <v>48</v>
          </cell>
          <cell r="T1080">
            <v>6</v>
          </cell>
          <cell r="AB1080">
            <v>39200</v>
          </cell>
          <cell r="AC1080" t="str">
            <v>境川</v>
          </cell>
          <cell r="AD1080" t="str">
            <v>Ｃ</v>
          </cell>
          <cell r="AE1080" t="str">
            <v>イ</v>
          </cell>
          <cell r="AF1080">
            <v>15</v>
          </cell>
          <cell r="AG1080">
            <v>20</v>
          </cell>
          <cell r="AH1080">
            <v>1.5</v>
          </cell>
          <cell r="AK1080" t="str">
            <v>境川</v>
          </cell>
          <cell r="AQ1080" t="str">
            <v/>
          </cell>
          <cell r="AR1080" t="str">
            <v>嫌気好気活性汚泥法</v>
          </cell>
          <cell r="AS1080" t="str">
            <v>2120101003</v>
          </cell>
          <cell r="AT1080" t="str">
            <v/>
          </cell>
          <cell r="AU1080" t="str">
            <v>10</v>
          </cell>
          <cell r="AV1080" t="str">
            <v>10</v>
          </cell>
          <cell r="AW1080">
            <v>0</v>
          </cell>
          <cell r="AX1080">
            <v>0</v>
          </cell>
          <cell r="AY1080">
            <v>0</v>
          </cell>
          <cell r="AZ1080">
            <v>0</v>
          </cell>
          <cell r="BA1080">
            <v>0</v>
          </cell>
          <cell r="BD1080" t="str">
            <v/>
          </cell>
          <cell r="BE1080">
            <v>1</v>
          </cell>
          <cell r="BG1080" t="str">
            <v>1100</v>
          </cell>
        </row>
        <row r="1081">
          <cell r="B1081" t="str">
            <v>G212010106100400</v>
          </cell>
          <cell r="C1081" t="str">
            <v>21.岐阜県</v>
          </cell>
          <cell r="D1081" t="str">
            <v>201</v>
          </cell>
          <cell r="E1081" t="str">
            <v>岐阜市</v>
          </cell>
          <cell r="F1081" t="str">
            <v>01</v>
          </cell>
          <cell r="G1081" t="str">
            <v>公共 単独</v>
          </cell>
          <cell r="H1081" t="str">
            <v>公共下水道</v>
          </cell>
          <cell r="I1081" t="str">
            <v>単独</v>
          </cell>
          <cell r="J1081" t="str">
            <v>004</v>
          </cell>
          <cell r="K1081" t="str">
            <v>北西部プラント</v>
          </cell>
          <cell r="M1081" t="str">
            <v>1</v>
          </cell>
          <cell r="Q1081">
            <v>38018</v>
          </cell>
          <cell r="R1081" t="str">
            <v>平成</v>
          </cell>
          <cell r="S1081">
            <v>16</v>
          </cell>
          <cell r="T1081">
            <v>2</v>
          </cell>
          <cell r="AB1081">
            <v>76600</v>
          </cell>
          <cell r="AC1081" t="str">
            <v>伊自良川</v>
          </cell>
          <cell r="AD1081" t="str">
            <v>Ｃ</v>
          </cell>
          <cell r="AE1081" t="str">
            <v>イ</v>
          </cell>
          <cell r="AF1081">
            <v>15</v>
          </cell>
          <cell r="AG1081">
            <v>15</v>
          </cell>
          <cell r="AH1081">
            <v>1.5</v>
          </cell>
          <cell r="AK1081" t="str">
            <v>根尾川</v>
          </cell>
          <cell r="AQ1081" t="str">
            <v/>
          </cell>
          <cell r="AR1081" t="str">
            <v>循環式硝化脱窒法</v>
          </cell>
          <cell r="AS1081" t="str">
            <v>2120101004</v>
          </cell>
          <cell r="AT1081">
            <v>1</v>
          </cell>
          <cell r="AU1081" t="str">
            <v>00</v>
          </cell>
          <cell r="AV1081" t="str">
            <v>00</v>
          </cell>
          <cell r="AW1081">
            <v>0</v>
          </cell>
          <cell r="AX1081">
            <v>0</v>
          </cell>
          <cell r="AY1081">
            <v>0</v>
          </cell>
          <cell r="AZ1081">
            <v>0</v>
          </cell>
          <cell r="BA1081">
            <v>0</v>
          </cell>
          <cell r="BD1081" t="str">
            <v/>
          </cell>
          <cell r="BE1081">
            <v>1</v>
          </cell>
          <cell r="BG1081" t="str">
            <v>1000</v>
          </cell>
        </row>
        <row r="1082">
          <cell r="B1082" t="str">
            <v>G212020106100100</v>
          </cell>
          <cell r="C1082" t="str">
            <v>21.岐阜県</v>
          </cell>
          <cell r="D1082" t="str">
            <v>202</v>
          </cell>
          <cell r="E1082" t="str">
            <v>大垣市</v>
          </cell>
          <cell r="F1082" t="str">
            <v>01</v>
          </cell>
          <cell r="G1082" t="str">
            <v>公共 単独</v>
          </cell>
          <cell r="H1082" t="str">
            <v>公共下水道</v>
          </cell>
          <cell r="I1082" t="str">
            <v>単独</v>
          </cell>
          <cell r="J1082" t="str">
            <v>001</v>
          </cell>
          <cell r="K1082" t="str">
            <v>大垣市浄化センター</v>
          </cell>
          <cell r="M1082" t="str">
            <v>1</v>
          </cell>
          <cell r="N1082" t="str">
            <v>1</v>
          </cell>
          <cell r="Q1082">
            <v>22737</v>
          </cell>
          <cell r="R1082" t="str">
            <v>昭和</v>
          </cell>
          <cell r="S1082">
            <v>37</v>
          </cell>
          <cell r="T1082">
            <v>4</v>
          </cell>
          <cell r="AB1082">
            <v>70700</v>
          </cell>
          <cell r="AC1082" t="str">
            <v>水門川</v>
          </cell>
          <cell r="AD1082" t="str">
            <v>Ｃ</v>
          </cell>
          <cell r="AE1082" t="str">
            <v>イ</v>
          </cell>
          <cell r="AF1082">
            <v>15</v>
          </cell>
          <cell r="AG1082">
            <v>10.1</v>
          </cell>
          <cell r="AH1082">
            <v>1.5</v>
          </cell>
          <cell r="AK1082" t="str">
            <v>水門川</v>
          </cell>
          <cell r="AQ1082" t="str">
            <v/>
          </cell>
          <cell r="AR1082" t="str">
            <v>標準活性汚泥法</v>
          </cell>
          <cell r="AS1082" t="str">
            <v>2120201001</v>
          </cell>
          <cell r="AT1082" t="str">
            <v/>
          </cell>
          <cell r="AU1082" t="str">
            <v>10</v>
          </cell>
          <cell r="AV1082" t="str">
            <v>10</v>
          </cell>
          <cell r="AW1082">
            <v>0</v>
          </cell>
          <cell r="AX1082">
            <v>0</v>
          </cell>
          <cell r="AY1082">
            <v>0</v>
          </cell>
          <cell r="AZ1082">
            <v>0</v>
          </cell>
          <cell r="BA1082">
            <v>0</v>
          </cell>
          <cell r="BD1082" t="str">
            <v/>
          </cell>
          <cell r="BE1082">
            <v>1</v>
          </cell>
          <cell r="BG1082" t="str">
            <v>1100</v>
          </cell>
        </row>
        <row r="1083">
          <cell r="B1083" t="str">
            <v>G212020206100200</v>
          </cell>
          <cell r="C1083" t="str">
            <v>21.岐阜県</v>
          </cell>
          <cell r="D1083" t="str">
            <v>202</v>
          </cell>
          <cell r="E1083" t="str">
            <v>大垣市</v>
          </cell>
          <cell r="F1083" t="str">
            <v>02</v>
          </cell>
          <cell r="G1083" t="str">
            <v>特環 単独</v>
          </cell>
          <cell r="H1083" t="str">
            <v>特定環境保全公共下水道</v>
          </cell>
          <cell r="I1083" t="str">
            <v>単独</v>
          </cell>
          <cell r="J1083" t="str">
            <v>002</v>
          </cell>
          <cell r="K1083" t="str">
            <v>大垣市上石津北部浄化センター</v>
          </cell>
          <cell r="M1083" t="str">
            <v>1</v>
          </cell>
          <cell r="N1083" t="str">
            <v>1</v>
          </cell>
          <cell r="Q1083">
            <v>36647</v>
          </cell>
          <cell r="R1083" t="str">
            <v>平成</v>
          </cell>
          <cell r="S1083">
            <v>12</v>
          </cell>
          <cell r="T1083">
            <v>5</v>
          </cell>
          <cell r="AB1083">
            <v>5815</v>
          </cell>
          <cell r="AC1083" t="str">
            <v>牧田川</v>
          </cell>
          <cell r="AD1083" t="str">
            <v>ＡＡ</v>
          </cell>
          <cell r="AE1083" t="str">
            <v>イ</v>
          </cell>
          <cell r="AI1083" t="str">
            <v>谷山谷川</v>
          </cell>
          <cell r="AQ1083" t="str">
            <v/>
          </cell>
          <cell r="AR1083" t="str">
            <v>オキシディションディッチ法</v>
          </cell>
          <cell r="AS1083" t="str">
            <v>2120202002</v>
          </cell>
          <cell r="AT1083" t="str">
            <v/>
          </cell>
          <cell r="AU1083" t="str">
            <v>10</v>
          </cell>
          <cell r="AV1083" t="str">
            <v>10</v>
          </cell>
          <cell r="AW1083">
            <v>0</v>
          </cell>
          <cell r="AX1083">
            <v>0</v>
          </cell>
          <cell r="AY1083">
            <v>0</v>
          </cell>
          <cell r="AZ1083">
            <v>0</v>
          </cell>
          <cell r="BA1083">
            <v>0</v>
          </cell>
          <cell r="BD1083" t="str">
            <v/>
          </cell>
          <cell r="BE1083">
            <v>1</v>
          </cell>
          <cell r="BG1083" t="str">
            <v>1100</v>
          </cell>
        </row>
        <row r="1084">
          <cell r="B1084" t="str">
            <v>G212020206100300</v>
          </cell>
          <cell r="C1084" t="str">
            <v>21.岐阜県</v>
          </cell>
          <cell r="D1084" t="str">
            <v>202</v>
          </cell>
          <cell r="E1084" t="str">
            <v>大垣市</v>
          </cell>
          <cell r="F1084" t="str">
            <v>02</v>
          </cell>
          <cell r="G1084" t="str">
            <v>特環 単独</v>
          </cell>
          <cell r="H1084" t="str">
            <v>特定環境保全公共下水道</v>
          </cell>
          <cell r="I1084" t="str">
            <v>単独</v>
          </cell>
          <cell r="J1084" t="str">
            <v>003</v>
          </cell>
          <cell r="K1084" t="str">
            <v>大垣市上石津中部浄化センター</v>
          </cell>
          <cell r="M1084" t="str">
            <v>1</v>
          </cell>
          <cell r="N1084" t="str">
            <v>1</v>
          </cell>
          <cell r="Q1084">
            <v>38443</v>
          </cell>
          <cell r="R1084" t="str">
            <v>平成</v>
          </cell>
          <cell r="S1084">
            <v>17</v>
          </cell>
          <cell r="T1084">
            <v>4</v>
          </cell>
          <cell r="AB1084">
            <v>4950</v>
          </cell>
          <cell r="AC1084" t="str">
            <v>牧田川</v>
          </cell>
          <cell r="AD1084" t="str">
            <v>ＡＡ</v>
          </cell>
          <cell r="AE1084" t="str">
            <v>イ</v>
          </cell>
          <cell r="AI1084" t="str">
            <v>鍛冶屋川</v>
          </cell>
          <cell r="AQ1084" t="str">
            <v/>
          </cell>
          <cell r="AR1084" t="str">
            <v>オキシディションディッチ法</v>
          </cell>
          <cell r="AS1084" t="str">
            <v>2120202003</v>
          </cell>
          <cell r="AT1084" t="str">
            <v/>
          </cell>
          <cell r="AU1084" t="str">
            <v>10</v>
          </cell>
          <cell r="AV1084" t="str">
            <v>10</v>
          </cell>
          <cell r="AW1084">
            <v>0</v>
          </cell>
          <cell r="AX1084">
            <v>0</v>
          </cell>
          <cell r="AY1084">
            <v>0</v>
          </cell>
          <cell r="AZ1084">
            <v>0</v>
          </cell>
          <cell r="BA1084">
            <v>0</v>
          </cell>
          <cell r="BD1084" t="str">
            <v/>
          </cell>
          <cell r="BE1084">
            <v>1</v>
          </cell>
          <cell r="BG1084" t="str">
            <v>1100</v>
          </cell>
        </row>
        <row r="1085">
          <cell r="B1085" t="str">
            <v>G212020106100400</v>
          </cell>
          <cell r="C1085" t="str">
            <v>21.岐阜県</v>
          </cell>
          <cell r="D1085" t="str">
            <v>202</v>
          </cell>
          <cell r="E1085" t="str">
            <v>大垣市</v>
          </cell>
          <cell r="F1085" t="str">
            <v>01</v>
          </cell>
          <cell r="G1085" t="str">
            <v>公共 単独</v>
          </cell>
          <cell r="H1085" t="str">
            <v>公共下水道</v>
          </cell>
          <cell r="I1085" t="str">
            <v>単独</v>
          </cell>
          <cell r="J1085" t="str">
            <v>004</v>
          </cell>
          <cell r="K1085" t="str">
            <v>大垣市墨俣浄化センター</v>
          </cell>
          <cell r="M1085" t="str">
            <v>1</v>
          </cell>
          <cell r="N1085" t="str">
            <v>1</v>
          </cell>
          <cell r="Q1085">
            <v>41343</v>
          </cell>
          <cell r="R1085" t="str">
            <v>平成</v>
          </cell>
          <cell r="S1085">
            <v>25</v>
          </cell>
          <cell r="T1085">
            <v>3</v>
          </cell>
          <cell r="AB1085">
            <v>20100</v>
          </cell>
          <cell r="AF1085">
            <v>10</v>
          </cell>
          <cell r="AG1085">
            <v>15</v>
          </cell>
          <cell r="AH1085">
            <v>1.5</v>
          </cell>
          <cell r="AI1085" t="str">
            <v>市排水路</v>
          </cell>
          <cell r="AQ1085" t="str">
            <v>新規</v>
          </cell>
          <cell r="AR1085" t="str">
            <v>高度処理オキシディションディッチ法</v>
          </cell>
          <cell r="AS1085" t="str">
            <v>2120201004</v>
          </cell>
          <cell r="AT1085" t="str">
            <v/>
          </cell>
          <cell r="AU1085" t="str">
            <v>10</v>
          </cell>
          <cell r="AV1085" t="str">
            <v>10</v>
          </cell>
          <cell r="AW1085">
            <v>0</v>
          </cell>
          <cell r="AX1085">
            <v>0</v>
          </cell>
          <cell r="AY1085">
            <v>0</v>
          </cell>
          <cell r="AZ1085">
            <v>0</v>
          </cell>
          <cell r="BA1085">
            <v>0</v>
          </cell>
          <cell r="BD1085" t="str">
            <v/>
          </cell>
          <cell r="BE1085">
            <v>1</v>
          </cell>
          <cell r="BG1085" t="str">
            <v>1100</v>
          </cell>
        </row>
        <row r="1086">
          <cell r="B1086" t="str">
            <v>G212030106100100</v>
          </cell>
          <cell r="C1086" t="str">
            <v>21.岐阜県</v>
          </cell>
          <cell r="D1086" t="str">
            <v>203</v>
          </cell>
          <cell r="E1086" t="str">
            <v>高山市</v>
          </cell>
          <cell r="F1086" t="str">
            <v>01</v>
          </cell>
          <cell r="G1086" t="str">
            <v>公共 単独</v>
          </cell>
          <cell r="H1086" t="str">
            <v>公共下水道</v>
          </cell>
          <cell r="I1086" t="str">
            <v>単独</v>
          </cell>
          <cell r="J1086" t="str">
            <v>001</v>
          </cell>
          <cell r="K1086" t="str">
            <v>宮川終末処理場</v>
          </cell>
          <cell r="M1086" t="str">
            <v>1</v>
          </cell>
          <cell r="N1086" t="str">
            <v>1</v>
          </cell>
          <cell r="Q1086">
            <v>29007</v>
          </cell>
          <cell r="R1086" t="str">
            <v>昭和</v>
          </cell>
          <cell r="S1086">
            <v>54</v>
          </cell>
          <cell r="T1086">
            <v>6</v>
          </cell>
          <cell r="AB1086">
            <v>51300</v>
          </cell>
          <cell r="AC1086" t="str">
            <v>神通川水系</v>
          </cell>
          <cell r="AD1086" t="str">
            <v>Ａ</v>
          </cell>
          <cell r="AE1086" t="str">
            <v>イ</v>
          </cell>
          <cell r="AF1086">
            <v>15</v>
          </cell>
          <cell r="AK1086" t="str">
            <v>宮川</v>
          </cell>
          <cell r="AQ1086" t="str">
            <v/>
          </cell>
          <cell r="AR1086" t="str">
            <v>その他処理方法</v>
          </cell>
          <cell r="AS1086" t="str">
            <v>2120301001</v>
          </cell>
          <cell r="AT1086" t="str">
            <v/>
          </cell>
          <cell r="AU1086" t="str">
            <v>10</v>
          </cell>
          <cell r="AV1086" t="str">
            <v>10</v>
          </cell>
          <cell r="AW1086">
            <v>0</v>
          </cell>
          <cell r="AX1086">
            <v>0</v>
          </cell>
          <cell r="AY1086">
            <v>0</v>
          </cell>
          <cell r="AZ1086">
            <v>0</v>
          </cell>
          <cell r="BA1086">
            <v>0</v>
          </cell>
          <cell r="BD1086" t="str">
            <v/>
          </cell>
          <cell r="BE1086">
            <v>1</v>
          </cell>
          <cell r="BG1086" t="str">
            <v>1100</v>
          </cell>
        </row>
        <row r="1087">
          <cell r="B1087" t="str">
            <v>G212030206100200</v>
          </cell>
          <cell r="C1087" t="str">
            <v>21.岐阜県</v>
          </cell>
          <cell r="D1087" t="str">
            <v>203</v>
          </cell>
          <cell r="E1087" t="str">
            <v>高山市</v>
          </cell>
          <cell r="F1087" t="str">
            <v>02</v>
          </cell>
          <cell r="G1087" t="str">
            <v>特環 単独</v>
          </cell>
          <cell r="H1087" t="str">
            <v>特定環境保全公共下水道</v>
          </cell>
          <cell r="I1087" t="str">
            <v>単独</v>
          </cell>
          <cell r="J1087" t="str">
            <v>002</v>
          </cell>
          <cell r="K1087" t="str">
            <v>高山市福地浄化センター</v>
          </cell>
          <cell r="M1087" t="str">
            <v>1</v>
          </cell>
          <cell r="N1087" t="str">
            <v>1</v>
          </cell>
          <cell r="Q1087">
            <v>32905</v>
          </cell>
          <cell r="R1087" t="str">
            <v>平成</v>
          </cell>
          <cell r="S1087">
            <v>2</v>
          </cell>
          <cell r="T1087">
            <v>2</v>
          </cell>
          <cell r="AB1087">
            <v>1925</v>
          </cell>
          <cell r="AC1087" t="str">
            <v>神通川水系</v>
          </cell>
          <cell r="AD1087" t="str">
            <v>ＡＡ</v>
          </cell>
          <cell r="AE1087" t="str">
            <v>イ</v>
          </cell>
          <cell r="AF1087">
            <v>20</v>
          </cell>
          <cell r="AK1087" t="str">
            <v>高原川</v>
          </cell>
          <cell r="AQ1087" t="str">
            <v/>
          </cell>
          <cell r="AR1087" t="str">
            <v>オキシディションディッチ法</v>
          </cell>
          <cell r="AS1087" t="str">
            <v>2120302002</v>
          </cell>
          <cell r="AT1087" t="str">
            <v/>
          </cell>
          <cell r="AU1087" t="str">
            <v>10</v>
          </cell>
          <cell r="AV1087" t="str">
            <v>10</v>
          </cell>
          <cell r="AW1087">
            <v>0</v>
          </cell>
          <cell r="AX1087">
            <v>0</v>
          </cell>
          <cell r="AY1087">
            <v>0</v>
          </cell>
          <cell r="AZ1087">
            <v>0</v>
          </cell>
          <cell r="BA1087">
            <v>0</v>
          </cell>
          <cell r="BD1087" t="str">
            <v/>
          </cell>
          <cell r="BE1087">
            <v>1</v>
          </cell>
          <cell r="BG1087" t="str">
            <v>1100</v>
          </cell>
        </row>
        <row r="1088">
          <cell r="B1088" t="str">
            <v>G212030206100300</v>
          </cell>
          <cell r="C1088" t="str">
            <v>21.岐阜県</v>
          </cell>
          <cell r="D1088" t="str">
            <v>203</v>
          </cell>
          <cell r="E1088" t="str">
            <v>高山市</v>
          </cell>
          <cell r="F1088" t="str">
            <v>02</v>
          </cell>
          <cell r="G1088" t="str">
            <v>特環 単独</v>
          </cell>
          <cell r="H1088" t="str">
            <v>特定環境保全公共下水道</v>
          </cell>
          <cell r="I1088" t="str">
            <v>単独</v>
          </cell>
          <cell r="J1088" t="str">
            <v>003</v>
          </cell>
          <cell r="K1088" t="str">
            <v>高山市平湯浄化センター</v>
          </cell>
          <cell r="M1088" t="str">
            <v>1</v>
          </cell>
          <cell r="Q1088">
            <v>34060</v>
          </cell>
          <cell r="R1088" t="str">
            <v>平成</v>
          </cell>
          <cell r="S1088">
            <v>5</v>
          </cell>
          <cell r="T1088">
            <v>4</v>
          </cell>
          <cell r="AB1088">
            <v>5152</v>
          </cell>
          <cell r="AC1088" t="str">
            <v>神通川水系</v>
          </cell>
          <cell r="AD1088" t="str">
            <v>ＡＡ</v>
          </cell>
          <cell r="AE1088" t="str">
            <v>イ</v>
          </cell>
          <cell r="AF1088">
            <v>20</v>
          </cell>
          <cell r="AI1088" t="str">
            <v>安房谷川</v>
          </cell>
          <cell r="AK1088" t="str">
            <v>高原川（上流）</v>
          </cell>
          <cell r="AQ1088" t="str">
            <v/>
          </cell>
          <cell r="AR1088" t="str">
            <v>嫌気好気ろ床法</v>
          </cell>
          <cell r="AS1088" t="str">
            <v>2120302003</v>
          </cell>
          <cell r="AT1088" t="str">
            <v/>
          </cell>
          <cell r="AU1088" t="str">
            <v>00</v>
          </cell>
          <cell r="AV1088" t="str">
            <v>00</v>
          </cell>
          <cell r="AW1088">
            <v>0</v>
          </cell>
          <cell r="AX1088">
            <v>0</v>
          </cell>
          <cell r="AY1088">
            <v>0</v>
          </cell>
          <cell r="AZ1088">
            <v>0</v>
          </cell>
          <cell r="BA1088">
            <v>0</v>
          </cell>
          <cell r="BD1088" t="str">
            <v/>
          </cell>
          <cell r="BE1088">
            <v>1</v>
          </cell>
          <cell r="BG1088" t="str">
            <v>1000</v>
          </cell>
        </row>
        <row r="1089">
          <cell r="B1089" t="str">
            <v>G212030206100400</v>
          </cell>
          <cell r="C1089" t="str">
            <v>21.岐阜県</v>
          </cell>
          <cell r="D1089" t="str">
            <v>203</v>
          </cell>
          <cell r="E1089" t="str">
            <v>高山市</v>
          </cell>
          <cell r="F1089" t="str">
            <v>02</v>
          </cell>
          <cell r="G1089" t="str">
            <v>特環 単独</v>
          </cell>
          <cell r="H1089" t="str">
            <v>特定環境保全公共下水道</v>
          </cell>
          <cell r="I1089" t="str">
            <v>単独</v>
          </cell>
          <cell r="J1089" t="str">
            <v>004</v>
          </cell>
          <cell r="K1089" t="str">
            <v>高山市新平湯浄化センター</v>
          </cell>
          <cell r="M1089" t="str">
            <v>1</v>
          </cell>
          <cell r="Q1089">
            <v>35521</v>
          </cell>
          <cell r="R1089" t="str">
            <v>平成</v>
          </cell>
          <cell r="S1089">
            <v>9</v>
          </cell>
          <cell r="T1089">
            <v>4</v>
          </cell>
          <cell r="AB1089">
            <v>6130</v>
          </cell>
          <cell r="AC1089" t="str">
            <v>神通川水系</v>
          </cell>
          <cell r="AD1089" t="str">
            <v>ＡＡ</v>
          </cell>
          <cell r="AE1089" t="str">
            <v>イ</v>
          </cell>
          <cell r="AF1089">
            <v>20</v>
          </cell>
          <cell r="AK1089" t="str">
            <v>高原川（上流）</v>
          </cell>
          <cell r="AQ1089" t="str">
            <v/>
          </cell>
          <cell r="AR1089" t="str">
            <v>嫌気好気ろ床法</v>
          </cell>
          <cell r="AS1089" t="str">
            <v>2120302004</v>
          </cell>
          <cell r="AT1089" t="str">
            <v/>
          </cell>
          <cell r="AU1089" t="str">
            <v>00</v>
          </cell>
          <cell r="AV1089" t="str">
            <v>00</v>
          </cell>
          <cell r="AW1089">
            <v>0</v>
          </cell>
          <cell r="AX1089">
            <v>0</v>
          </cell>
          <cell r="AY1089">
            <v>0</v>
          </cell>
          <cell r="AZ1089">
            <v>0</v>
          </cell>
          <cell r="BA1089">
            <v>0</v>
          </cell>
          <cell r="BD1089" t="str">
            <v/>
          </cell>
          <cell r="BE1089">
            <v>1</v>
          </cell>
          <cell r="BG1089" t="str">
            <v>1000</v>
          </cell>
        </row>
        <row r="1090">
          <cell r="B1090" t="str">
            <v>G212030206100500</v>
          </cell>
          <cell r="C1090" t="str">
            <v>21.岐阜県</v>
          </cell>
          <cell r="D1090" t="str">
            <v>203</v>
          </cell>
          <cell r="E1090" t="str">
            <v>高山市</v>
          </cell>
          <cell r="F1090" t="str">
            <v>02</v>
          </cell>
          <cell r="G1090" t="str">
            <v>特環 単独</v>
          </cell>
          <cell r="H1090" t="str">
            <v>特定環境保全公共下水道</v>
          </cell>
          <cell r="I1090" t="str">
            <v>単独</v>
          </cell>
          <cell r="J1090" t="str">
            <v>005</v>
          </cell>
          <cell r="K1090" t="str">
            <v>高山市宇津江浄化センター</v>
          </cell>
          <cell r="M1090" t="str">
            <v>1</v>
          </cell>
          <cell r="N1090" t="str">
            <v>1</v>
          </cell>
          <cell r="Q1090">
            <v>36617</v>
          </cell>
          <cell r="R1090" t="str">
            <v>平成</v>
          </cell>
          <cell r="S1090">
            <v>12</v>
          </cell>
          <cell r="T1090">
            <v>4</v>
          </cell>
          <cell r="AB1090">
            <v>5177</v>
          </cell>
          <cell r="AC1090" t="str">
            <v>神通川水系</v>
          </cell>
          <cell r="AD1090" t="str">
            <v>Ａ</v>
          </cell>
          <cell r="AE1090" t="str">
            <v>イ</v>
          </cell>
          <cell r="AF1090">
            <v>15</v>
          </cell>
          <cell r="AK1090" t="str">
            <v>宮川</v>
          </cell>
          <cell r="AQ1090" t="str">
            <v/>
          </cell>
          <cell r="AR1090" t="str">
            <v>オキシディションディッチ法</v>
          </cell>
          <cell r="AS1090" t="str">
            <v>2120302005</v>
          </cell>
          <cell r="AT1090" t="str">
            <v/>
          </cell>
          <cell r="AU1090" t="str">
            <v>10</v>
          </cell>
          <cell r="AV1090" t="str">
            <v>10</v>
          </cell>
          <cell r="AW1090">
            <v>0</v>
          </cell>
          <cell r="AX1090">
            <v>0</v>
          </cell>
          <cell r="AY1090">
            <v>0</v>
          </cell>
          <cell r="AZ1090">
            <v>0</v>
          </cell>
          <cell r="BA1090">
            <v>0</v>
          </cell>
          <cell r="BD1090" t="str">
            <v/>
          </cell>
          <cell r="BE1090">
            <v>1</v>
          </cell>
          <cell r="BG1090" t="str">
            <v>1100</v>
          </cell>
        </row>
        <row r="1091">
          <cell r="B1091" t="str">
            <v>G212030206100600</v>
          </cell>
          <cell r="C1091" t="str">
            <v>21.岐阜県</v>
          </cell>
          <cell r="D1091" t="str">
            <v>203</v>
          </cell>
          <cell r="E1091" t="str">
            <v>高山市</v>
          </cell>
          <cell r="F1091" t="str">
            <v>02</v>
          </cell>
          <cell r="G1091" t="str">
            <v>特環 単独</v>
          </cell>
          <cell r="H1091" t="str">
            <v>特定環境保全公共下水道</v>
          </cell>
          <cell r="I1091" t="str">
            <v>単独</v>
          </cell>
          <cell r="J1091" t="str">
            <v>006</v>
          </cell>
          <cell r="K1091" t="str">
            <v>高山市久々野浄化センター</v>
          </cell>
          <cell r="M1091" t="str">
            <v>1</v>
          </cell>
          <cell r="N1091" t="str">
            <v>1</v>
          </cell>
          <cell r="Q1091">
            <v>37257</v>
          </cell>
          <cell r="R1091" t="str">
            <v>平成</v>
          </cell>
          <cell r="S1091">
            <v>14</v>
          </cell>
          <cell r="T1091">
            <v>1</v>
          </cell>
          <cell r="AB1091">
            <v>7052</v>
          </cell>
          <cell r="AC1091" t="str">
            <v>木曽川水系</v>
          </cell>
          <cell r="AD1091" t="str">
            <v>ＡＡ</v>
          </cell>
          <cell r="AE1091" t="str">
            <v>イ</v>
          </cell>
          <cell r="AF1091">
            <v>20</v>
          </cell>
          <cell r="AK1091" t="str">
            <v>飛騨川</v>
          </cell>
          <cell r="AQ1091" t="str">
            <v/>
          </cell>
          <cell r="AR1091" t="str">
            <v>オキシディションディッチ法</v>
          </cell>
          <cell r="AS1091" t="str">
            <v>2120302006</v>
          </cell>
          <cell r="AT1091" t="str">
            <v/>
          </cell>
          <cell r="AU1091" t="str">
            <v>10</v>
          </cell>
          <cell r="AV1091" t="str">
            <v>10</v>
          </cell>
          <cell r="AW1091">
            <v>0</v>
          </cell>
          <cell r="AX1091">
            <v>0</v>
          </cell>
          <cell r="AY1091">
            <v>0</v>
          </cell>
          <cell r="AZ1091">
            <v>0</v>
          </cell>
          <cell r="BA1091">
            <v>0</v>
          </cell>
          <cell r="BD1091" t="str">
            <v/>
          </cell>
          <cell r="BE1091">
            <v>1</v>
          </cell>
          <cell r="BG1091" t="str">
            <v>1100</v>
          </cell>
        </row>
        <row r="1092">
          <cell r="B1092" t="str">
            <v>G212030206100700</v>
          </cell>
          <cell r="C1092" t="str">
            <v>21.岐阜県</v>
          </cell>
          <cell r="D1092" t="str">
            <v>203</v>
          </cell>
          <cell r="E1092" t="str">
            <v>高山市</v>
          </cell>
          <cell r="F1092" t="str">
            <v>02</v>
          </cell>
          <cell r="G1092" t="str">
            <v>特環 単独</v>
          </cell>
          <cell r="H1092" t="str">
            <v>特定環境保全公共下水道</v>
          </cell>
          <cell r="I1092" t="str">
            <v>単独</v>
          </cell>
          <cell r="J1092" t="str">
            <v>007</v>
          </cell>
          <cell r="K1092" t="str">
            <v>高山市本郷浄化センター</v>
          </cell>
          <cell r="M1092" t="str">
            <v>1</v>
          </cell>
          <cell r="N1092" t="str">
            <v>1</v>
          </cell>
          <cell r="Q1092">
            <v>37316</v>
          </cell>
          <cell r="R1092" t="str">
            <v>平成</v>
          </cell>
          <cell r="S1092">
            <v>14</v>
          </cell>
          <cell r="T1092">
            <v>3</v>
          </cell>
          <cell r="AB1092">
            <v>5125</v>
          </cell>
          <cell r="AC1092" t="str">
            <v>神通川水系</v>
          </cell>
          <cell r="AD1092" t="str">
            <v>ＡＡ</v>
          </cell>
          <cell r="AE1092" t="str">
            <v>イ</v>
          </cell>
          <cell r="AF1092">
            <v>20</v>
          </cell>
          <cell r="AK1092" t="str">
            <v>高原川</v>
          </cell>
          <cell r="AQ1092" t="str">
            <v/>
          </cell>
          <cell r="AR1092" t="str">
            <v>オキシディションディッチ法</v>
          </cell>
          <cell r="AS1092" t="str">
            <v>2120302007</v>
          </cell>
          <cell r="AT1092" t="str">
            <v/>
          </cell>
          <cell r="AU1092" t="str">
            <v>10</v>
          </cell>
          <cell r="AV1092" t="str">
            <v>10</v>
          </cell>
          <cell r="AW1092">
            <v>0</v>
          </cell>
          <cell r="AX1092">
            <v>0</v>
          </cell>
          <cell r="AY1092">
            <v>0</v>
          </cell>
          <cell r="AZ1092">
            <v>0</v>
          </cell>
          <cell r="BA1092">
            <v>0</v>
          </cell>
          <cell r="BD1092" t="str">
            <v/>
          </cell>
          <cell r="BE1092">
            <v>1</v>
          </cell>
          <cell r="BG1092" t="str">
            <v>1100</v>
          </cell>
        </row>
        <row r="1093">
          <cell r="B1093" t="str">
            <v>G212030206100800</v>
          </cell>
          <cell r="C1093" t="str">
            <v>21.岐阜県</v>
          </cell>
          <cell r="D1093" t="str">
            <v>203</v>
          </cell>
          <cell r="E1093" t="str">
            <v>高山市</v>
          </cell>
          <cell r="F1093" t="str">
            <v>02</v>
          </cell>
          <cell r="G1093" t="str">
            <v>特環 単独</v>
          </cell>
          <cell r="H1093" t="str">
            <v>特定環境保全公共下水道</v>
          </cell>
          <cell r="I1093" t="str">
            <v>単独</v>
          </cell>
          <cell r="J1093" t="str">
            <v>008</v>
          </cell>
          <cell r="K1093" t="str">
            <v>高山市荘川浄化センター</v>
          </cell>
          <cell r="M1093" t="str">
            <v>1</v>
          </cell>
          <cell r="N1093" t="str">
            <v>1</v>
          </cell>
          <cell r="Q1093">
            <v>37316</v>
          </cell>
          <cell r="R1093" t="str">
            <v>平成</v>
          </cell>
          <cell r="S1093">
            <v>14</v>
          </cell>
          <cell r="T1093">
            <v>3</v>
          </cell>
          <cell r="AB1093">
            <v>4151</v>
          </cell>
          <cell r="AC1093" t="str">
            <v>庄川</v>
          </cell>
          <cell r="AD1093" t="str">
            <v>Ａ</v>
          </cell>
          <cell r="AE1093" t="str">
            <v>イ</v>
          </cell>
          <cell r="AF1093">
            <v>20</v>
          </cell>
          <cell r="AK1093" t="str">
            <v>庄川</v>
          </cell>
          <cell r="AQ1093" t="str">
            <v/>
          </cell>
          <cell r="AR1093" t="str">
            <v>オキシディションディッチ法</v>
          </cell>
          <cell r="AS1093" t="str">
            <v>2120302008</v>
          </cell>
          <cell r="AT1093" t="str">
            <v/>
          </cell>
          <cell r="AU1093" t="str">
            <v>10</v>
          </cell>
          <cell r="AV1093" t="str">
            <v>10</v>
          </cell>
          <cell r="AW1093">
            <v>0</v>
          </cell>
          <cell r="AX1093">
            <v>0</v>
          </cell>
          <cell r="AY1093">
            <v>0</v>
          </cell>
          <cell r="AZ1093">
            <v>0</v>
          </cell>
          <cell r="BA1093">
            <v>0</v>
          </cell>
          <cell r="BD1093" t="str">
            <v/>
          </cell>
          <cell r="BE1093">
            <v>1</v>
          </cell>
          <cell r="BG1093" t="str">
            <v>1100</v>
          </cell>
        </row>
        <row r="1094">
          <cell r="B1094" t="str">
            <v>G212030206100900</v>
          </cell>
          <cell r="C1094" t="str">
            <v>21.岐阜県</v>
          </cell>
          <cell r="D1094" t="str">
            <v>203</v>
          </cell>
          <cell r="E1094" t="str">
            <v>高山市</v>
          </cell>
          <cell r="F1094" t="str">
            <v>02</v>
          </cell>
          <cell r="G1094" t="str">
            <v>特環 単独</v>
          </cell>
          <cell r="H1094" t="str">
            <v>特定環境保全公共下水道</v>
          </cell>
          <cell r="I1094" t="str">
            <v>単独</v>
          </cell>
          <cell r="J1094" t="str">
            <v>009</v>
          </cell>
          <cell r="K1094" t="str">
            <v>高山市朝日浄化センター</v>
          </cell>
          <cell r="M1094" t="str">
            <v>1</v>
          </cell>
          <cell r="N1094" t="str">
            <v>1</v>
          </cell>
          <cell r="Q1094">
            <v>37712</v>
          </cell>
          <cell r="R1094" t="str">
            <v>平成</v>
          </cell>
          <cell r="S1094">
            <v>15</v>
          </cell>
          <cell r="T1094">
            <v>4</v>
          </cell>
          <cell r="AB1094">
            <v>4500</v>
          </cell>
          <cell r="AC1094" t="str">
            <v>木曽川水系</v>
          </cell>
          <cell r="AD1094" t="str">
            <v>ＡＡ</v>
          </cell>
          <cell r="AE1094" t="str">
            <v>イ</v>
          </cell>
          <cell r="AF1094">
            <v>20</v>
          </cell>
          <cell r="AK1094" t="str">
            <v>飛騨川</v>
          </cell>
          <cell r="AQ1094" t="str">
            <v/>
          </cell>
          <cell r="AR1094" t="str">
            <v>オキシディションディッチ法</v>
          </cell>
          <cell r="AS1094" t="str">
            <v>2120302009</v>
          </cell>
          <cell r="AT1094" t="str">
            <v/>
          </cell>
          <cell r="AU1094" t="str">
            <v>10</v>
          </cell>
          <cell r="AV1094" t="str">
            <v>10</v>
          </cell>
          <cell r="AW1094">
            <v>0</v>
          </cell>
          <cell r="AX1094">
            <v>0</v>
          </cell>
          <cell r="AY1094">
            <v>0</v>
          </cell>
          <cell r="AZ1094">
            <v>0</v>
          </cell>
          <cell r="BA1094">
            <v>0</v>
          </cell>
          <cell r="BD1094" t="str">
            <v/>
          </cell>
          <cell r="BE1094">
            <v>1</v>
          </cell>
          <cell r="BG1094" t="str">
            <v>1100</v>
          </cell>
        </row>
        <row r="1095">
          <cell r="B1095" t="str">
            <v>G212030206101000</v>
          </cell>
          <cell r="C1095" t="str">
            <v>21.岐阜県</v>
          </cell>
          <cell r="D1095" t="str">
            <v>203</v>
          </cell>
          <cell r="E1095" t="str">
            <v>高山市</v>
          </cell>
          <cell r="F1095" t="str">
            <v>02</v>
          </cell>
          <cell r="G1095" t="str">
            <v>特環 単独</v>
          </cell>
          <cell r="H1095" t="str">
            <v>特定環境保全公共下水道</v>
          </cell>
          <cell r="I1095" t="str">
            <v>単独</v>
          </cell>
          <cell r="J1095" t="str">
            <v>010</v>
          </cell>
          <cell r="K1095" t="str">
            <v>高山市国府浄化センター</v>
          </cell>
          <cell r="M1095" t="str">
            <v>1</v>
          </cell>
          <cell r="N1095" t="str">
            <v>1</v>
          </cell>
          <cell r="Q1095">
            <v>38078</v>
          </cell>
          <cell r="R1095" t="str">
            <v>平成</v>
          </cell>
          <cell r="S1095">
            <v>16</v>
          </cell>
          <cell r="T1095">
            <v>4</v>
          </cell>
          <cell r="AB1095">
            <v>8389</v>
          </cell>
          <cell r="AC1095" t="str">
            <v>神通川水系</v>
          </cell>
          <cell r="AD1095" t="str">
            <v>Ａ</v>
          </cell>
          <cell r="AE1095" t="str">
            <v>イ</v>
          </cell>
          <cell r="AK1095" t="str">
            <v>宮川</v>
          </cell>
          <cell r="AQ1095" t="str">
            <v/>
          </cell>
          <cell r="AR1095" t="str">
            <v>オキシディションディッチ法</v>
          </cell>
          <cell r="AS1095" t="str">
            <v>2120302010</v>
          </cell>
          <cell r="AT1095" t="str">
            <v/>
          </cell>
          <cell r="AU1095" t="str">
            <v>10</v>
          </cell>
          <cell r="AV1095" t="str">
            <v>10</v>
          </cell>
          <cell r="AW1095">
            <v>0</v>
          </cell>
          <cell r="AX1095">
            <v>0</v>
          </cell>
          <cell r="AY1095">
            <v>0</v>
          </cell>
          <cell r="AZ1095">
            <v>0</v>
          </cell>
          <cell r="BA1095">
            <v>0</v>
          </cell>
          <cell r="BD1095" t="str">
            <v/>
          </cell>
          <cell r="BE1095">
            <v>1</v>
          </cell>
          <cell r="BG1095" t="str">
            <v>1100</v>
          </cell>
        </row>
        <row r="1096">
          <cell r="B1096" t="str">
            <v>G212030206101100</v>
          </cell>
          <cell r="C1096" t="str">
            <v>21.岐阜県</v>
          </cell>
          <cell r="D1096" t="str">
            <v>203</v>
          </cell>
          <cell r="E1096" t="str">
            <v>高山市</v>
          </cell>
          <cell r="F1096" t="str">
            <v>02</v>
          </cell>
          <cell r="G1096" t="str">
            <v>特環 単独</v>
          </cell>
          <cell r="H1096" t="str">
            <v>特定環境保全公共下水道</v>
          </cell>
          <cell r="I1096" t="str">
            <v>単独</v>
          </cell>
          <cell r="J1096" t="str">
            <v>011</v>
          </cell>
          <cell r="K1096" t="str">
            <v>高山市栃尾浄化センター</v>
          </cell>
          <cell r="M1096" t="str">
            <v>1</v>
          </cell>
          <cell r="Q1096">
            <v>38777</v>
          </cell>
          <cell r="R1096" t="str">
            <v>平成</v>
          </cell>
          <cell r="S1096">
            <v>18</v>
          </cell>
          <cell r="T1096">
            <v>3</v>
          </cell>
          <cell r="AB1096">
            <v>5753</v>
          </cell>
          <cell r="AC1096" t="str">
            <v>神通川水系</v>
          </cell>
          <cell r="AD1096" t="str">
            <v>ＡＡ</v>
          </cell>
          <cell r="AE1096" t="str">
            <v>イ</v>
          </cell>
          <cell r="AF1096">
            <v>15</v>
          </cell>
          <cell r="AK1096" t="str">
            <v>高原川</v>
          </cell>
          <cell r="AQ1096" t="str">
            <v/>
          </cell>
          <cell r="AR1096" t="str">
            <v>嫌気好気ろ床法</v>
          </cell>
          <cell r="AS1096" t="str">
            <v>2120302011</v>
          </cell>
          <cell r="AT1096" t="str">
            <v/>
          </cell>
          <cell r="AU1096" t="str">
            <v>00</v>
          </cell>
          <cell r="AV1096" t="str">
            <v>00</v>
          </cell>
          <cell r="AW1096">
            <v>0</v>
          </cell>
          <cell r="AX1096">
            <v>0</v>
          </cell>
          <cell r="AY1096">
            <v>0</v>
          </cell>
          <cell r="AZ1096">
            <v>0</v>
          </cell>
          <cell r="BA1096">
            <v>0</v>
          </cell>
          <cell r="BD1096" t="str">
            <v/>
          </cell>
          <cell r="BE1096">
            <v>1</v>
          </cell>
          <cell r="BG1096" t="str">
            <v>1000</v>
          </cell>
        </row>
        <row r="1097">
          <cell r="B1097" t="str">
            <v>G212040106100100</v>
          </cell>
          <cell r="C1097" t="str">
            <v>21.岐阜県</v>
          </cell>
          <cell r="D1097" t="str">
            <v>204</v>
          </cell>
          <cell r="E1097" t="str">
            <v>多治見市</v>
          </cell>
          <cell r="F1097" t="str">
            <v>01</v>
          </cell>
          <cell r="G1097" t="str">
            <v>公共 単独</v>
          </cell>
          <cell r="H1097" t="str">
            <v>公共下水道</v>
          </cell>
          <cell r="I1097" t="str">
            <v>単独</v>
          </cell>
          <cell r="J1097" t="str">
            <v>001</v>
          </cell>
          <cell r="K1097" t="str">
            <v>池田下水処理場</v>
          </cell>
          <cell r="M1097" t="str">
            <v>1</v>
          </cell>
          <cell r="N1097" t="str">
            <v>1</v>
          </cell>
          <cell r="P1097" t="str">
            <v>1</v>
          </cell>
          <cell r="Q1097">
            <v>28216</v>
          </cell>
          <cell r="R1097" t="str">
            <v>昭和</v>
          </cell>
          <cell r="S1097">
            <v>52</v>
          </cell>
          <cell r="T1097">
            <v>4</v>
          </cell>
          <cell r="AB1097">
            <v>37300</v>
          </cell>
          <cell r="AC1097" t="str">
            <v>土岐川中流</v>
          </cell>
          <cell r="AD1097" t="str">
            <v>Ｂ</v>
          </cell>
          <cell r="AE1097" t="str">
            <v>イ</v>
          </cell>
          <cell r="AF1097">
            <v>15</v>
          </cell>
          <cell r="AG1097">
            <v>10.199999999999999</v>
          </cell>
          <cell r="AH1097">
            <v>1.5</v>
          </cell>
          <cell r="AI1097" t="str">
            <v>1級河川辛沢川</v>
          </cell>
          <cell r="AK1097" t="str">
            <v>土岐川</v>
          </cell>
          <cell r="AQ1097" t="str">
            <v/>
          </cell>
          <cell r="AR1097" t="str">
            <v>標準活性汚泥法</v>
          </cell>
          <cell r="AS1097" t="str">
            <v>2120401001</v>
          </cell>
          <cell r="AT1097" t="str">
            <v/>
          </cell>
          <cell r="AU1097" t="str">
            <v>10</v>
          </cell>
          <cell r="AV1097" t="str">
            <v>10</v>
          </cell>
          <cell r="AW1097">
            <v>1</v>
          </cell>
          <cell r="AX1097">
            <v>0</v>
          </cell>
          <cell r="AY1097">
            <v>0</v>
          </cell>
          <cell r="AZ1097">
            <v>0</v>
          </cell>
          <cell r="BA1097">
            <v>0</v>
          </cell>
          <cell r="BD1097" t="str">
            <v/>
          </cell>
          <cell r="BE1097">
            <v>1</v>
          </cell>
          <cell r="BG1097" t="str">
            <v>1101</v>
          </cell>
        </row>
        <row r="1098">
          <cell r="B1098" t="str">
            <v>G212040106100200</v>
          </cell>
          <cell r="C1098" t="str">
            <v>21.岐阜県</v>
          </cell>
          <cell r="D1098" t="str">
            <v>204</v>
          </cell>
          <cell r="E1098" t="str">
            <v>多治見市</v>
          </cell>
          <cell r="F1098" t="str">
            <v>01</v>
          </cell>
          <cell r="G1098" t="str">
            <v>公共 単独</v>
          </cell>
          <cell r="H1098" t="str">
            <v>公共下水道</v>
          </cell>
          <cell r="I1098" t="str">
            <v>単独</v>
          </cell>
          <cell r="J1098" t="str">
            <v>002</v>
          </cell>
          <cell r="K1098" t="str">
            <v>市之倉下水処理場</v>
          </cell>
          <cell r="M1098" t="str">
            <v>1</v>
          </cell>
          <cell r="N1098" t="str">
            <v>1</v>
          </cell>
          <cell r="Q1098">
            <v>35886</v>
          </cell>
          <cell r="R1098" t="str">
            <v>平成</v>
          </cell>
          <cell r="S1098">
            <v>10</v>
          </cell>
          <cell r="T1098">
            <v>4</v>
          </cell>
          <cell r="AB1098">
            <v>3900</v>
          </cell>
          <cell r="AC1098" t="str">
            <v>土岐川中流</v>
          </cell>
          <cell r="AD1098" t="str">
            <v>Ｂ</v>
          </cell>
          <cell r="AE1098" t="str">
            <v>イ</v>
          </cell>
          <cell r="AF1098">
            <v>15</v>
          </cell>
          <cell r="AG1098">
            <v>15</v>
          </cell>
          <cell r="AH1098">
            <v>1.5</v>
          </cell>
          <cell r="AI1098" t="str">
            <v>1級河川市之倉川</v>
          </cell>
          <cell r="AK1098" t="str">
            <v>土岐川</v>
          </cell>
          <cell r="AQ1098" t="str">
            <v/>
          </cell>
          <cell r="AR1098" t="str">
            <v>回分式活性汚泥法</v>
          </cell>
          <cell r="AS1098" t="str">
            <v>2120401002</v>
          </cell>
          <cell r="AT1098" t="str">
            <v/>
          </cell>
          <cell r="AU1098" t="str">
            <v>10</v>
          </cell>
          <cell r="AV1098" t="str">
            <v>10</v>
          </cell>
          <cell r="AW1098">
            <v>0</v>
          </cell>
          <cell r="AX1098">
            <v>0</v>
          </cell>
          <cell r="AY1098">
            <v>0</v>
          </cell>
          <cell r="AZ1098">
            <v>0</v>
          </cell>
          <cell r="BA1098">
            <v>0</v>
          </cell>
          <cell r="BD1098" t="str">
            <v/>
          </cell>
          <cell r="BE1098">
            <v>1</v>
          </cell>
          <cell r="BG1098" t="str">
            <v>1100</v>
          </cell>
        </row>
        <row r="1099">
          <cell r="B1099" t="str">
            <v>G212040106100300</v>
          </cell>
          <cell r="C1099" t="str">
            <v>21.岐阜県</v>
          </cell>
          <cell r="D1099" t="str">
            <v>204</v>
          </cell>
          <cell r="E1099" t="str">
            <v>多治見市</v>
          </cell>
          <cell r="F1099" t="str">
            <v>01</v>
          </cell>
          <cell r="G1099" t="str">
            <v>公共 単独</v>
          </cell>
          <cell r="H1099" t="str">
            <v>公共下水道</v>
          </cell>
          <cell r="I1099" t="str">
            <v>単独</v>
          </cell>
          <cell r="J1099" t="str">
            <v>003</v>
          </cell>
          <cell r="K1099" t="str">
            <v>笠原下水処理場</v>
          </cell>
          <cell r="M1099" t="str">
            <v>1</v>
          </cell>
          <cell r="N1099" t="str">
            <v>1</v>
          </cell>
          <cell r="Q1099">
            <v>36739</v>
          </cell>
          <cell r="R1099" t="str">
            <v>平成</v>
          </cell>
          <cell r="S1099">
            <v>12</v>
          </cell>
          <cell r="T1099">
            <v>8</v>
          </cell>
          <cell r="U1099" t="str">
            <v>名称変更</v>
          </cell>
          <cell r="V1099">
            <v>38353</v>
          </cell>
          <cell r="W1099" t="str">
            <v>平成</v>
          </cell>
          <cell r="X1099">
            <v>17</v>
          </cell>
          <cell r="Y1099">
            <v>1</v>
          </cell>
          <cell r="Z1099" t="str">
            <v>笠原浄化センター</v>
          </cell>
          <cell r="AB1099">
            <v>18000</v>
          </cell>
          <cell r="AC1099" t="str">
            <v>笠原川</v>
          </cell>
          <cell r="AD1099" t="str">
            <v>Ａ</v>
          </cell>
          <cell r="AE1099" t="str">
            <v>イ</v>
          </cell>
          <cell r="AF1099">
            <v>15</v>
          </cell>
          <cell r="AI1099" t="str">
            <v>1級河川笠原川</v>
          </cell>
          <cell r="AK1099" t="str">
            <v>土岐川</v>
          </cell>
          <cell r="AQ1099" t="str">
            <v/>
          </cell>
          <cell r="AR1099" t="str">
            <v>好気性ろ床法</v>
          </cell>
          <cell r="AS1099" t="str">
            <v>2120401003</v>
          </cell>
          <cell r="AT1099" t="str">
            <v/>
          </cell>
          <cell r="AU1099" t="str">
            <v>10</v>
          </cell>
          <cell r="AV1099" t="str">
            <v>10</v>
          </cell>
          <cell r="AW1099">
            <v>0</v>
          </cell>
          <cell r="AX1099">
            <v>0</v>
          </cell>
          <cell r="AY1099">
            <v>0</v>
          </cell>
          <cell r="AZ1099">
            <v>0</v>
          </cell>
          <cell r="BA1099">
            <v>0</v>
          </cell>
          <cell r="BD1099" t="str">
            <v/>
          </cell>
          <cell r="BE1099">
            <v>1</v>
          </cell>
          <cell r="BG1099" t="str">
            <v>1100</v>
          </cell>
        </row>
        <row r="1100">
          <cell r="B1100" t="str">
            <v>G212050106100100</v>
          </cell>
          <cell r="C1100" t="str">
            <v>21.岐阜県</v>
          </cell>
          <cell r="D1100" t="str">
            <v>205</v>
          </cell>
          <cell r="E1100" t="str">
            <v>関市</v>
          </cell>
          <cell r="F1100" t="str">
            <v>01</v>
          </cell>
          <cell r="G1100" t="str">
            <v>公共 単独</v>
          </cell>
          <cell r="H1100" t="str">
            <v>公共下水道</v>
          </cell>
          <cell r="I1100" t="str">
            <v>単独</v>
          </cell>
          <cell r="J1100" t="str">
            <v>001</v>
          </cell>
          <cell r="K1100" t="str">
            <v>関市浄化センター</v>
          </cell>
          <cell r="M1100" t="str">
            <v>1</v>
          </cell>
          <cell r="N1100" t="str">
            <v>1</v>
          </cell>
          <cell r="Q1100">
            <v>24504</v>
          </cell>
          <cell r="R1100" t="str">
            <v>昭和</v>
          </cell>
          <cell r="S1100">
            <v>42</v>
          </cell>
          <cell r="T1100">
            <v>2</v>
          </cell>
          <cell r="AB1100">
            <v>27100</v>
          </cell>
          <cell r="AC1100" t="str">
            <v>長良川中流</v>
          </cell>
          <cell r="AD1100" t="str">
            <v>Ａ</v>
          </cell>
          <cell r="AE1100" t="str">
            <v>イ</v>
          </cell>
          <cell r="AF1100">
            <v>15</v>
          </cell>
          <cell r="AK1100" t="str">
            <v>津保川</v>
          </cell>
          <cell r="AQ1100" t="str">
            <v/>
          </cell>
          <cell r="AR1100" t="str">
            <v>ステップ流入式多段硝化脱窒法</v>
          </cell>
          <cell r="AS1100" t="str">
            <v>2120501001</v>
          </cell>
          <cell r="AT1100" t="str">
            <v/>
          </cell>
          <cell r="AU1100" t="str">
            <v>10</v>
          </cell>
          <cell r="AV1100" t="str">
            <v>10</v>
          </cell>
          <cell r="AW1100">
            <v>0</v>
          </cell>
          <cell r="AX1100">
            <v>0</v>
          </cell>
          <cell r="AY1100">
            <v>0</v>
          </cell>
          <cell r="AZ1100">
            <v>0</v>
          </cell>
          <cell r="BA1100">
            <v>0</v>
          </cell>
          <cell r="BD1100" t="str">
            <v/>
          </cell>
          <cell r="BE1100">
            <v>1</v>
          </cell>
          <cell r="BG1100" t="str">
            <v>1100</v>
          </cell>
        </row>
        <row r="1101">
          <cell r="B1101" t="str">
            <v>G212050206100200</v>
          </cell>
          <cell r="C1101" t="str">
            <v>21.岐阜県</v>
          </cell>
          <cell r="D1101" t="str">
            <v>205</v>
          </cell>
          <cell r="E1101" t="str">
            <v>関市</v>
          </cell>
          <cell r="F1101" t="str">
            <v>02</v>
          </cell>
          <cell r="G1101" t="str">
            <v>特環 単独</v>
          </cell>
          <cell r="H1101" t="str">
            <v>特定環境保全公共下水道</v>
          </cell>
          <cell r="I1101" t="str">
            <v>単独</v>
          </cell>
          <cell r="J1101" t="str">
            <v>002</v>
          </cell>
          <cell r="K1101" t="str">
            <v>田原下水処理場</v>
          </cell>
          <cell r="M1101" t="str">
            <v>1</v>
          </cell>
          <cell r="N1101" t="str">
            <v>1</v>
          </cell>
          <cell r="Q1101">
            <v>33694</v>
          </cell>
          <cell r="R1101" t="str">
            <v>平成</v>
          </cell>
          <cell r="S1101">
            <v>4</v>
          </cell>
          <cell r="T1101">
            <v>3</v>
          </cell>
          <cell r="AB1101">
            <v>2911</v>
          </cell>
          <cell r="AC1101" t="str">
            <v>長良川中流</v>
          </cell>
          <cell r="AD1101" t="str">
            <v>Ａ</v>
          </cell>
          <cell r="AE1101" t="str">
            <v>イ</v>
          </cell>
          <cell r="AF1101">
            <v>20</v>
          </cell>
          <cell r="AK1101" t="str">
            <v>蜂屋川</v>
          </cell>
          <cell r="AQ1101" t="str">
            <v/>
          </cell>
          <cell r="AR1101" t="str">
            <v>回分式活性汚泥法</v>
          </cell>
          <cell r="AS1101" t="str">
            <v>2120502002</v>
          </cell>
          <cell r="AT1101" t="str">
            <v/>
          </cell>
          <cell r="AU1101" t="str">
            <v>10</v>
          </cell>
          <cell r="AV1101" t="str">
            <v>10</v>
          </cell>
          <cell r="AW1101">
            <v>0</v>
          </cell>
          <cell r="AX1101">
            <v>0</v>
          </cell>
          <cell r="AY1101">
            <v>0</v>
          </cell>
          <cell r="AZ1101">
            <v>0</v>
          </cell>
          <cell r="BA1101">
            <v>0</v>
          </cell>
          <cell r="BD1101" t="str">
            <v/>
          </cell>
          <cell r="BE1101">
            <v>1</v>
          </cell>
          <cell r="BG1101" t="str">
            <v>1100</v>
          </cell>
        </row>
        <row r="1102">
          <cell r="B1102" t="str">
            <v>G212050206100300</v>
          </cell>
          <cell r="C1102" t="str">
            <v>21.岐阜県</v>
          </cell>
          <cell r="D1102" t="str">
            <v>205</v>
          </cell>
          <cell r="E1102" t="str">
            <v>関市</v>
          </cell>
          <cell r="F1102" t="str">
            <v>02</v>
          </cell>
          <cell r="G1102" t="str">
            <v>特環 単独</v>
          </cell>
          <cell r="H1102" t="str">
            <v>特定環境保全公共下水道</v>
          </cell>
          <cell r="I1102" t="str">
            <v>単独</v>
          </cell>
          <cell r="J1102" t="str">
            <v>003</v>
          </cell>
          <cell r="K1102" t="str">
            <v>白金下水処理場</v>
          </cell>
          <cell r="M1102" t="str">
            <v>1</v>
          </cell>
          <cell r="N1102" t="str">
            <v>1</v>
          </cell>
          <cell r="Q1102">
            <v>34759</v>
          </cell>
          <cell r="R1102" t="str">
            <v>平成</v>
          </cell>
          <cell r="S1102">
            <v>7</v>
          </cell>
          <cell r="T1102">
            <v>3</v>
          </cell>
          <cell r="AB1102">
            <v>7600</v>
          </cell>
          <cell r="AC1102" t="str">
            <v>長良川中流</v>
          </cell>
          <cell r="AD1102" t="str">
            <v>Ａ</v>
          </cell>
          <cell r="AE1102" t="str">
            <v>イ</v>
          </cell>
          <cell r="AF1102">
            <v>5</v>
          </cell>
          <cell r="AK1102" t="str">
            <v>津保川</v>
          </cell>
          <cell r="AQ1102" t="str">
            <v/>
          </cell>
          <cell r="AR1102" t="str">
            <v>回分式活性汚泥法</v>
          </cell>
          <cell r="AS1102" t="str">
            <v>2120502003</v>
          </cell>
          <cell r="AT1102" t="str">
            <v/>
          </cell>
          <cell r="AU1102" t="str">
            <v>10</v>
          </cell>
          <cell r="AV1102" t="str">
            <v>10</v>
          </cell>
          <cell r="AW1102">
            <v>0</v>
          </cell>
          <cell r="AX1102">
            <v>0</v>
          </cell>
          <cell r="AY1102">
            <v>0</v>
          </cell>
          <cell r="AZ1102">
            <v>0</v>
          </cell>
          <cell r="BA1102">
            <v>0</v>
          </cell>
          <cell r="BD1102" t="str">
            <v/>
          </cell>
          <cell r="BE1102">
            <v>1</v>
          </cell>
          <cell r="BG1102" t="str">
            <v>1100</v>
          </cell>
        </row>
        <row r="1103">
          <cell r="B1103" t="str">
            <v>G212050206100400</v>
          </cell>
          <cell r="C1103" t="str">
            <v>21.岐阜県</v>
          </cell>
          <cell r="D1103" t="str">
            <v>205</v>
          </cell>
          <cell r="E1103" t="str">
            <v>関市</v>
          </cell>
          <cell r="F1103" t="str">
            <v>02</v>
          </cell>
          <cell r="G1103" t="str">
            <v>特環 単独</v>
          </cell>
          <cell r="H1103" t="str">
            <v>特定環境保全公共下水道</v>
          </cell>
          <cell r="I1103" t="str">
            <v>単独</v>
          </cell>
          <cell r="J1103" t="str">
            <v>004</v>
          </cell>
          <cell r="K1103" t="str">
            <v>広見下水処理場</v>
          </cell>
          <cell r="M1103" t="str">
            <v>1</v>
          </cell>
          <cell r="N1103" t="str">
            <v>1</v>
          </cell>
          <cell r="Q1103">
            <v>35490</v>
          </cell>
          <cell r="R1103" t="str">
            <v>平成</v>
          </cell>
          <cell r="S1103">
            <v>9</v>
          </cell>
          <cell r="T1103">
            <v>3</v>
          </cell>
          <cell r="AB1103">
            <v>4260</v>
          </cell>
          <cell r="AC1103" t="str">
            <v>長良川中流</v>
          </cell>
          <cell r="AD1103" t="str">
            <v>Ａ</v>
          </cell>
          <cell r="AE1103" t="str">
            <v>イ</v>
          </cell>
          <cell r="AF1103">
            <v>20</v>
          </cell>
          <cell r="AK1103" t="str">
            <v>武儀川</v>
          </cell>
          <cell r="AQ1103" t="str">
            <v/>
          </cell>
          <cell r="AR1103" t="str">
            <v>回分式活性汚泥法</v>
          </cell>
          <cell r="AS1103" t="str">
            <v>2120502004</v>
          </cell>
          <cell r="AT1103" t="str">
            <v/>
          </cell>
          <cell r="AU1103" t="str">
            <v>10</v>
          </cell>
          <cell r="AV1103" t="str">
            <v>10</v>
          </cell>
          <cell r="AW1103">
            <v>0</v>
          </cell>
          <cell r="AX1103">
            <v>0</v>
          </cell>
          <cell r="AY1103">
            <v>0</v>
          </cell>
          <cell r="AZ1103">
            <v>0</v>
          </cell>
          <cell r="BA1103">
            <v>0</v>
          </cell>
          <cell r="BD1103" t="str">
            <v/>
          </cell>
          <cell r="BE1103">
            <v>1</v>
          </cell>
          <cell r="BG1103" t="str">
            <v>1100</v>
          </cell>
        </row>
        <row r="1104">
          <cell r="B1104" t="str">
            <v>G212050206100500</v>
          </cell>
          <cell r="C1104" t="str">
            <v>21.岐阜県</v>
          </cell>
          <cell r="D1104" t="str">
            <v>205</v>
          </cell>
          <cell r="E1104" t="str">
            <v>関市</v>
          </cell>
          <cell r="F1104" t="str">
            <v>02</v>
          </cell>
          <cell r="G1104" t="str">
            <v>特環 単独</v>
          </cell>
          <cell r="H1104" t="str">
            <v>特定環境保全公共下水道</v>
          </cell>
          <cell r="I1104" t="str">
            <v>単独</v>
          </cell>
          <cell r="J1104" t="str">
            <v>005</v>
          </cell>
          <cell r="K1104" t="str">
            <v>武芸川浄化センター</v>
          </cell>
          <cell r="M1104" t="str">
            <v>1</v>
          </cell>
          <cell r="N1104" t="str">
            <v>1</v>
          </cell>
          <cell r="Q1104">
            <v>35855</v>
          </cell>
          <cell r="R1104" t="str">
            <v>平成</v>
          </cell>
          <cell r="S1104">
            <v>10</v>
          </cell>
          <cell r="T1104">
            <v>3</v>
          </cell>
          <cell r="AB1104">
            <v>7044</v>
          </cell>
          <cell r="AC1104" t="str">
            <v>長良川中流</v>
          </cell>
          <cell r="AD1104" t="str">
            <v>Ａ</v>
          </cell>
          <cell r="AE1104" t="str">
            <v>イ</v>
          </cell>
          <cell r="AF1104">
            <v>20</v>
          </cell>
          <cell r="AG1104">
            <v>20</v>
          </cell>
          <cell r="AH1104">
            <v>3</v>
          </cell>
          <cell r="AK1104" t="str">
            <v>武儀川</v>
          </cell>
          <cell r="AQ1104" t="str">
            <v/>
          </cell>
          <cell r="AR1104" t="str">
            <v>回分式活性汚泥法</v>
          </cell>
          <cell r="AS1104" t="str">
            <v>2120502005</v>
          </cell>
          <cell r="AT1104" t="str">
            <v/>
          </cell>
          <cell r="AU1104" t="str">
            <v>10</v>
          </cell>
          <cell r="AV1104" t="str">
            <v>10</v>
          </cell>
          <cell r="AW1104">
            <v>0</v>
          </cell>
          <cell r="AX1104">
            <v>0</v>
          </cell>
          <cell r="AY1104">
            <v>0</v>
          </cell>
          <cell r="AZ1104">
            <v>0</v>
          </cell>
          <cell r="BA1104">
            <v>0</v>
          </cell>
          <cell r="BD1104" t="str">
            <v/>
          </cell>
          <cell r="BE1104">
            <v>1</v>
          </cell>
          <cell r="BG1104" t="str">
            <v>1100</v>
          </cell>
        </row>
        <row r="1105">
          <cell r="B1105" t="str">
            <v>G212050206100600</v>
          </cell>
          <cell r="C1105" t="str">
            <v>21.岐阜県</v>
          </cell>
          <cell r="D1105" t="str">
            <v>205</v>
          </cell>
          <cell r="E1105" t="str">
            <v>関市</v>
          </cell>
          <cell r="F1105" t="str">
            <v>02</v>
          </cell>
          <cell r="G1105" t="str">
            <v>特環 単独</v>
          </cell>
          <cell r="H1105" t="str">
            <v>特定環境保全公共下水道</v>
          </cell>
          <cell r="I1105" t="str">
            <v>単独</v>
          </cell>
          <cell r="J1105" t="str">
            <v>006</v>
          </cell>
          <cell r="K1105" t="str">
            <v>洞戸浄化センター</v>
          </cell>
          <cell r="M1105" t="str">
            <v>1</v>
          </cell>
          <cell r="N1105" t="str">
            <v>1</v>
          </cell>
          <cell r="Q1105">
            <v>36220</v>
          </cell>
          <cell r="R1105" t="str">
            <v>平成</v>
          </cell>
          <cell r="S1105">
            <v>11</v>
          </cell>
          <cell r="T1105">
            <v>3</v>
          </cell>
          <cell r="AB1105">
            <v>2673</v>
          </cell>
          <cell r="AC1105" t="str">
            <v>長良川中流</v>
          </cell>
          <cell r="AD1105" t="str">
            <v>Ａ</v>
          </cell>
          <cell r="AE1105" t="str">
            <v>イ</v>
          </cell>
          <cell r="AF1105">
            <v>15</v>
          </cell>
          <cell r="AG1105">
            <v>15</v>
          </cell>
          <cell r="AH1105">
            <v>1.5</v>
          </cell>
          <cell r="AK1105" t="str">
            <v>板取川</v>
          </cell>
          <cell r="AQ1105" t="str">
            <v/>
          </cell>
          <cell r="AR1105" t="str">
            <v>好気性ろ床法</v>
          </cell>
          <cell r="AS1105" t="str">
            <v>2120502006</v>
          </cell>
          <cell r="AT1105" t="str">
            <v/>
          </cell>
          <cell r="AU1105" t="str">
            <v>10</v>
          </cell>
          <cell r="AV1105" t="str">
            <v>10</v>
          </cell>
          <cell r="AW1105">
            <v>0</v>
          </cell>
          <cell r="AX1105">
            <v>0</v>
          </cell>
          <cell r="AY1105">
            <v>0</v>
          </cell>
          <cell r="AZ1105">
            <v>0</v>
          </cell>
          <cell r="BA1105">
            <v>0</v>
          </cell>
          <cell r="BD1105" t="str">
            <v/>
          </cell>
          <cell r="BE1105">
            <v>1</v>
          </cell>
          <cell r="BG1105" t="str">
            <v>1100</v>
          </cell>
        </row>
        <row r="1106">
          <cell r="B1106" t="str">
            <v>G212050206100700</v>
          </cell>
          <cell r="C1106" t="str">
            <v>21.岐阜県</v>
          </cell>
          <cell r="D1106" t="str">
            <v>205</v>
          </cell>
          <cell r="E1106" t="str">
            <v>関市</v>
          </cell>
          <cell r="F1106" t="str">
            <v>02</v>
          </cell>
          <cell r="G1106" t="str">
            <v>特環 単独</v>
          </cell>
          <cell r="H1106" t="str">
            <v>特定環境保全公共下水道</v>
          </cell>
          <cell r="I1106" t="str">
            <v>単独</v>
          </cell>
          <cell r="J1106" t="str">
            <v>007</v>
          </cell>
          <cell r="K1106" t="str">
            <v>上之保浄化センター</v>
          </cell>
          <cell r="M1106" t="str">
            <v>1</v>
          </cell>
          <cell r="N1106" t="str">
            <v>1</v>
          </cell>
          <cell r="Q1106">
            <v>37346</v>
          </cell>
          <cell r="R1106" t="str">
            <v>平成</v>
          </cell>
          <cell r="S1106">
            <v>14</v>
          </cell>
          <cell r="T1106">
            <v>3</v>
          </cell>
          <cell r="AB1106">
            <v>1947</v>
          </cell>
          <cell r="AC1106" t="str">
            <v>長良川上流</v>
          </cell>
          <cell r="AD1106" t="str">
            <v>Ａ</v>
          </cell>
          <cell r="AE1106" t="str">
            <v>イ</v>
          </cell>
          <cell r="AF1106">
            <v>20</v>
          </cell>
          <cell r="AK1106" t="str">
            <v>津保川</v>
          </cell>
          <cell r="AQ1106" t="str">
            <v/>
          </cell>
          <cell r="AR1106" t="str">
            <v>好気性ろ床法</v>
          </cell>
          <cell r="AS1106" t="str">
            <v>2120502007</v>
          </cell>
          <cell r="AT1106" t="str">
            <v/>
          </cell>
          <cell r="AU1106" t="str">
            <v>10</v>
          </cell>
          <cell r="AV1106" t="str">
            <v>10</v>
          </cell>
          <cell r="AW1106">
            <v>0</v>
          </cell>
          <cell r="AX1106">
            <v>0</v>
          </cell>
          <cell r="AY1106">
            <v>0</v>
          </cell>
          <cell r="AZ1106">
            <v>0</v>
          </cell>
          <cell r="BA1106">
            <v>0</v>
          </cell>
          <cell r="BD1106" t="str">
            <v/>
          </cell>
          <cell r="BE1106">
            <v>1</v>
          </cell>
          <cell r="BG1106" t="str">
            <v>1100</v>
          </cell>
        </row>
        <row r="1107">
          <cell r="B1107" t="str">
            <v>G212060106100100</v>
          </cell>
          <cell r="C1107" t="str">
            <v>21.岐阜県</v>
          </cell>
          <cell r="D1107" t="str">
            <v>206</v>
          </cell>
          <cell r="E1107" t="str">
            <v>中津川市</v>
          </cell>
          <cell r="F1107" t="str">
            <v>01</v>
          </cell>
          <cell r="G1107" t="str">
            <v>公共 単独</v>
          </cell>
          <cell r="H1107" t="str">
            <v>公共下水道</v>
          </cell>
          <cell r="I1107" t="str">
            <v>単独</v>
          </cell>
          <cell r="J1107" t="str">
            <v>001</v>
          </cell>
          <cell r="K1107" t="str">
            <v>中津川市浄化管理センター</v>
          </cell>
          <cell r="M1107" t="str">
            <v>1</v>
          </cell>
          <cell r="N1107" t="str">
            <v>1</v>
          </cell>
          <cell r="P1107" t="str">
            <v>1</v>
          </cell>
          <cell r="Q1107">
            <v>32568</v>
          </cell>
          <cell r="R1107" t="str">
            <v>平成</v>
          </cell>
          <cell r="S1107">
            <v>1</v>
          </cell>
          <cell r="T1107">
            <v>3</v>
          </cell>
          <cell r="AB1107">
            <v>36900</v>
          </cell>
          <cell r="AC1107" t="str">
            <v>中津川</v>
          </cell>
          <cell r="AD1107" t="str">
            <v>Ｄ</v>
          </cell>
          <cell r="AE1107" t="str">
            <v>イ</v>
          </cell>
          <cell r="AK1107" t="str">
            <v>中津川</v>
          </cell>
          <cell r="AL1107" t="str">
            <v>実戸浄水場</v>
          </cell>
          <cell r="AM1107">
            <v>2.6</v>
          </cell>
          <cell r="AO1107" t="str">
            <v>中津川市</v>
          </cell>
          <cell r="AQ1107" t="str">
            <v/>
          </cell>
          <cell r="AR1107" t="str">
            <v>酸素活性汚泥法</v>
          </cell>
          <cell r="AS1107" t="str">
            <v>2120601001</v>
          </cell>
          <cell r="AT1107" t="str">
            <v/>
          </cell>
          <cell r="AU1107" t="str">
            <v>10</v>
          </cell>
          <cell r="AV1107" t="str">
            <v>10</v>
          </cell>
          <cell r="AW1107">
            <v>1</v>
          </cell>
          <cell r="AX1107">
            <v>0</v>
          </cell>
          <cell r="AY1107">
            <v>0</v>
          </cell>
          <cell r="AZ1107">
            <v>0</v>
          </cell>
          <cell r="BA1107">
            <v>0</v>
          </cell>
          <cell r="BD1107" t="str">
            <v/>
          </cell>
          <cell r="BE1107">
            <v>1</v>
          </cell>
          <cell r="BG1107" t="str">
            <v>1101</v>
          </cell>
        </row>
        <row r="1108">
          <cell r="B1108" t="str">
            <v>G212060206100200</v>
          </cell>
          <cell r="C1108" t="str">
            <v>21.岐阜県</v>
          </cell>
          <cell r="D1108" t="str">
            <v>206</v>
          </cell>
          <cell r="E1108" t="str">
            <v>中津川市</v>
          </cell>
          <cell r="F1108" t="str">
            <v>02</v>
          </cell>
          <cell r="G1108" t="str">
            <v>特環 単独</v>
          </cell>
          <cell r="H1108" t="str">
            <v>特定環境保全公共下水道</v>
          </cell>
          <cell r="I1108" t="str">
            <v>単独</v>
          </cell>
          <cell r="J1108" t="str">
            <v>002</v>
          </cell>
          <cell r="K1108" t="str">
            <v>付知町クリーンセンター</v>
          </cell>
          <cell r="M1108" t="str">
            <v>1</v>
          </cell>
          <cell r="N1108" t="str">
            <v>1</v>
          </cell>
          <cell r="Q1108">
            <v>35490</v>
          </cell>
          <cell r="R1108" t="str">
            <v>平成</v>
          </cell>
          <cell r="S1108">
            <v>9</v>
          </cell>
          <cell r="T1108">
            <v>3</v>
          </cell>
          <cell r="AB1108">
            <v>4000</v>
          </cell>
          <cell r="AC1108" t="str">
            <v>付知川</v>
          </cell>
          <cell r="AD1108" t="str">
            <v>Ａ</v>
          </cell>
          <cell r="AE1108" t="str">
            <v>イ</v>
          </cell>
          <cell r="AK1108" t="str">
            <v>付知川</v>
          </cell>
          <cell r="AO1108" t="str">
            <v>中津川市</v>
          </cell>
          <cell r="AQ1108" t="str">
            <v/>
          </cell>
          <cell r="AR1108" t="str">
            <v>嫌気好気ろ床法</v>
          </cell>
          <cell r="AS1108" t="str">
            <v>2120602002</v>
          </cell>
          <cell r="AT1108" t="str">
            <v/>
          </cell>
          <cell r="AU1108" t="str">
            <v>10</v>
          </cell>
          <cell r="AV1108" t="str">
            <v>10</v>
          </cell>
          <cell r="AW1108">
            <v>0</v>
          </cell>
          <cell r="AX1108">
            <v>0</v>
          </cell>
          <cell r="AY1108">
            <v>0</v>
          </cell>
          <cell r="AZ1108">
            <v>0</v>
          </cell>
          <cell r="BA1108">
            <v>0</v>
          </cell>
          <cell r="BD1108" t="str">
            <v/>
          </cell>
          <cell r="BE1108">
            <v>1</v>
          </cell>
          <cell r="BG1108" t="str">
            <v>1100</v>
          </cell>
        </row>
        <row r="1109">
          <cell r="B1109" t="str">
            <v>G212060206100300</v>
          </cell>
          <cell r="C1109" t="str">
            <v>21.岐阜県</v>
          </cell>
          <cell r="D1109" t="str">
            <v>206</v>
          </cell>
          <cell r="E1109" t="str">
            <v>中津川市</v>
          </cell>
          <cell r="F1109" t="str">
            <v>02</v>
          </cell>
          <cell r="G1109" t="str">
            <v>特環 単独</v>
          </cell>
          <cell r="H1109" t="str">
            <v>特定環境保全公共下水道</v>
          </cell>
          <cell r="I1109" t="str">
            <v>単独</v>
          </cell>
          <cell r="J1109" t="str">
            <v>003</v>
          </cell>
          <cell r="K1109" t="str">
            <v>蛭川浄化センター</v>
          </cell>
          <cell r="M1109" t="str">
            <v>1</v>
          </cell>
          <cell r="N1109" t="str">
            <v>1</v>
          </cell>
          <cell r="Q1109">
            <v>35886</v>
          </cell>
          <cell r="R1109" t="str">
            <v>平成</v>
          </cell>
          <cell r="S1109">
            <v>10</v>
          </cell>
          <cell r="T1109">
            <v>4</v>
          </cell>
          <cell r="AB1109">
            <v>5000</v>
          </cell>
          <cell r="AC1109" t="str">
            <v>木曽川</v>
          </cell>
          <cell r="AD1109" t="str">
            <v>Ａ</v>
          </cell>
          <cell r="AE1109" t="str">
            <v>ロ</v>
          </cell>
          <cell r="AF1109">
            <v>20</v>
          </cell>
          <cell r="AK1109" t="str">
            <v>和田川</v>
          </cell>
          <cell r="AL1109" t="str">
            <v>蛭川南部簡水</v>
          </cell>
          <cell r="AM1109">
            <v>0.6</v>
          </cell>
          <cell r="AO1109" t="str">
            <v>中津川市</v>
          </cell>
          <cell r="AQ1109" t="str">
            <v/>
          </cell>
          <cell r="AR1109" t="str">
            <v>オキシディションディッチ法</v>
          </cell>
          <cell r="AS1109" t="str">
            <v>2120602003</v>
          </cell>
          <cell r="AT1109" t="str">
            <v/>
          </cell>
          <cell r="AU1109" t="str">
            <v>10</v>
          </cell>
          <cell r="AV1109" t="str">
            <v>10</v>
          </cell>
          <cell r="AW1109">
            <v>0</v>
          </cell>
          <cell r="AX1109">
            <v>0</v>
          </cell>
          <cell r="AY1109">
            <v>0</v>
          </cell>
          <cell r="AZ1109">
            <v>0</v>
          </cell>
          <cell r="BA1109">
            <v>0</v>
          </cell>
          <cell r="BD1109" t="str">
            <v/>
          </cell>
          <cell r="BE1109">
            <v>1</v>
          </cell>
          <cell r="BG1109" t="str">
            <v>1100</v>
          </cell>
        </row>
        <row r="1110">
          <cell r="B1110" t="str">
            <v>G212060206100400</v>
          </cell>
          <cell r="C1110" t="str">
            <v>21.岐阜県</v>
          </cell>
          <cell r="D1110" t="str">
            <v>206</v>
          </cell>
          <cell r="E1110" t="str">
            <v>中津川市</v>
          </cell>
          <cell r="F1110" t="str">
            <v>02</v>
          </cell>
          <cell r="G1110" t="str">
            <v>特環 単独</v>
          </cell>
          <cell r="H1110" t="str">
            <v>特定環境保全公共下水道</v>
          </cell>
          <cell r="I1110" t="str">
            <v>単独</v>
          </cell>
          <cell r="J1110" t="str">
            <v>004</v>
          </cell>
          <cell r="K1110" t="str">
            <v>まごめ浄化センター</v>
          </cell>
          <cell r="M1110" t="str">
            <v>1</v>
          </cell>
          <cell r="N1110" t="str">
            <v>1</v>
          </cell>
          <cell r="Q1110">
            <v>35886</v>
          </cell>
          <cell r="R1110" t="str">
            <v>平成</v>
          </cell>
          <cell r="S1110">
            <v>10</v>
          </cell>
          <cell r="T1110">
            <v>4</v>
          </cell>
          <cell r="AB1110">
            <v>3930</v>
          </cell>
          <cell r="AC1110" t="str">
            <v>落合川</v>
          </cell>
          <cell r="AD1110" t="str">
            <v>Ａ</v>
          </cell>
          <cell r="AE1110" t="str">
            <v>イ</v>
          </cell>
          <cell r="AI1110" t="str">
            <v>杁川</v>
          </cell>
          <cell r="AK1110" t="str">
            <v>島田川</v>
          </cell>
          <cell r="AL1110" t="str">
            <v>岐阜県東濃用水</v>
          </cell>
          <cell r="AM1110">
            <v>2.5</v>
          </cell>
          <cell r="AO1110" t="str">
            <v>岐阜県東部広域</v>
          </cell>
          <cell r="AQ1110" t="str">
            <v/>
          </cell>
          <cell r="AR1110" t="str">
            <v>オキシディションディッチ法</v>
          </cell>
          <cell r="AS1110" t="str">
            <v>2120602004</v>
          </cell>
          <cell r="AT1110" t="str">
            <v/>
          </cell>
          <cell r="AU1110" t="str">
            <v>10</v>
          </cell>
          <cell r="AV1110" t="str">
            <v>10</v>
          </cell>
          <cell r="AW1110">
            <v>0</v>
          </cell>
          <cell r="AX1110">
            <v>0</v>
          </cell>
          <cell r="AY1110">
            <v>0</v>
          </cell>
          <cell r="AZ1110">
            <v>0</v>
          </cell>
          <cell r="BA1110">
            <v>0</v>
          </cell>
          <cell r="BD1110" t="str">
            <v/>
          </cell>
          <cell r="BE1110">
            <v>1</v>
          </cell>
          <cell r="BG1110" t="str">
            <v>1100</v>
          </cell>
        </row>
        <row r="1111">
          <cell r="B1111" t="str">
            <v>G212060206100500</v>
          </cell>
          <cell r="C1111" t="str">
            <v>21.岐阜県</v>
          </cell>
          <cell r="D1111" t="str">
            <v>206</v>
          </cell>
          <cell r="E1111" t="str">
            <v>中津川市</v>
          </cell>
          <cell r="F1111" t="str">
            <v>02</v>
          </cell>
          <cell r="G1111" t="str">
            <v>特環 単独</v>
          </cell>
          <cell r="H1111" t="str">
            <v>特定環境保全公共下水道</v>
          </cell>
          <cell r="I1111" t="str">
            <v>単独</v>
          </cell>
          <cell r="J1111" t="str">
            <v>005</v>
          </cell>
          <cell r="K1111" t="str">
            <v>坂下浄化センター</v>
          </cell>
          <cell r="M1111" t="str">
            <v>1</v>
          </cell>
          <cell r="N1111" t="str">
            <v>1</v>
          </cell>
          <cell r="Q1111">
            <v>36586</v>
          </cell>
          <cell r="R1111" t="str">
            <v>平成</v>
          </cell>
          <cell r="S1111">
            <v>12</v>
          </cell>
          <cell r="T1111">
            <v>3</v>
          </cell>
          <cell r="AB1111">
            <v>4700</v>
          </cell>
          <cell r="AC1111" t="str">
            <v>木曽川</v>
          </cell>
          <cell r="AD1111" t="str">
            <v>ＡＡ</v>
          </cell>
          <cell r="AE1111" t="str">
            <v>イ</v>
          </cell>
          <cell r="AF1111">
            <v>20</v>
          </cell>
          <cell r="AK1111" t="str">
            <v>木曽川</v>
          </cell>
          <cell r="AL1111" t="str">
            <v>岐阜県東濃用水</v>
          </cell>
          <cell r="AN1111">
            <v>8</v>
          </cell>
          <cell r="AO1111" t="str">
            <v>岐阜県東部広域</v>
          </cell>
          <cell r="AQ1111" t="str">
            <v/>
          </cell>
          <cell r="AR1111" t="str">
            <v>好気性ろ床法</v>
          </cell>
          <cell r="AS1111" t="str">
            <v>2120602005</v>
          </cell>
          <cell r="AT1111" t="str">
            <v/>
          </cell>
          <cell r="AU1111" t="str">
            <v>10</v>
          </cell>
          <cell r="AV1111" t="str">
            <v>10</v>
          </cell>
          <cell r="AW1111">
            <v>0</v>
          </cell>
          <cell r="AX1111">
            <v>0</v>
          </cell>
          <cell r="AY1111">
            <v>0</v>
          </cell>
          <cell r="AZ1111">
            <v>0</v>
          </cell>
          <cell r="BA1111">
            <v>0</v>
          </cell>
          <cell r="BD1111" t="str">
            <v/>
          </cell>
          <cell r="BE1111">
            <v>1</v>
          </cell>
          <cell r="BG1111" t="str">
            <v>1100</v>
          </cell>
        </row>
        <row r="1112">
          <cell r="B1112" t="str">
            <v>G212060206100600</v>
          </cell>
          <cell r="C1112" t="str">
            <v>21.岐阜県</v>
          </cell>
          <cell r="D1112" t="str">
            <v>206</v>
          </cell>
          <cell r="E1112" t="str">
            <v>中津川市</v>
          </cell>
          <cell r="F1112" t="str">
            <v>02</v>
          </cell>
          <cell r="G1112" t="str">
            <v>特環 単独</v>
          </cell>
          <cell r="H1112" t="str">
            <v>特定環境保全公共下水道</v>
          </cell>
          <cell r="I1112" t="str">
            <v>単独</v>
          </cell>
          <cell r="J1112" t="str">
            <v>006</v>
          </cell>
          <cell r="K1112" t="str">
            <v>落合浄化センター</v>
          </cell>
          <cell r="M1112" t="str">
            <v>1</v>
          </cell>
          <cell r="N1112" t="str">
            <v>1</v>
          </cell>
          <cell r="Q1112">
            <v>36586</v>
          </cell>
          <cell r="R1112" t="str">
            <v>平成</v>
          </cell>
          <cell r="S1112">
            <v>12</v>
          </cell>
          <cell r="T1112">
            <v>3</v>
          </cell>
          <cell r="AB1112">
            <v>7500</v>
          </cell>
          <cell r="AC1112" t="str">
            <v>木曽川</v>
          </cell>
          <cell r="AD1112" t="str">
            <v>Ａ</v>
          </cell>
          <cell r="AE1112" t="str">
            <v>ロ</v>
          </cell>
          <cell r="AI1112" t="str">
            <v>月柿川</v>
          </cell>
          <cell r="AK1112" t="str">
            <v>木曽川</v>
          </cell>
          <cell r="AQ1112" t="str">
            <v/>
          </cell>
          <cell r="AR1112" t="str">
            <v>オキシディションディッチ法</v>
          </cell>
          <cell r="AS1112" t="str">
            <v>2120602006</v>
          </cell>
          <cell r="AT1112" t="str">
            <v/>
          </cell>
          <cell r="AU1112" t="str">
            <v>10</v>
          </cell>
          <cell r="AV1112" t="str">
            <v>10</v>
          </cell>
          <cell r="AW1112">
            <v>0</v>
          </cell>
          <cell r="AX1112">
            <v>0</v>
          </cell>
          <cell r="AY1112">
            <v>0</v>
          </cell>
          <cell r="AZ1112">
            <v>0</v>
          </cell>
          <cell r="BA1112">
            <v>0</v>
          </cell>
          <cell r="BD1112" t="str">
            <v/>
          </cell>
          <cell r="BE1112">
            <v>1</v>
          </cell>
          <cell r="BG1112" t="str">
            <v>1100</v>
          </cell>
        </row>
        <row r="1113">
          <cell r="B1113" t="str">
            <v>G212060206100700</v>
          </cell>
          <cell r="C1113" t="str">
            <v>21.岐阜県</v>
          </cell>
          <cell r="D1113" t="str">
            <v>206</v>
          </cell>
          <cell r="E1113" t="str">
            <v>中津川市</v>
          </cell>
          <cell r="F1113" t="str">
            <v>02</v>
          </cell>
          <cell r="G1113" t="str">
            <v>特環 単独</v>
          </cell>
          <cell r="H1113" t="str">
            <v>特定環境保全公共下水道</v>
          </cell>
          <cell r="I1113" t="str">
            <v>単独</v>
          </cell>
          <cell r="J1113" t="str">
            <v>007</v>
          </cell>
          <cell r="K1113" t="str">
            <v>福岡クリーンセンター</v>
          </cell>
          <cell r="M1113" t="str">
            <v>1</v>
          </cell>
          <cell r="N1113" t="str">
            <v>1</v>
          </cell>
          <cell r="Q1113">
            <v>36586</v>
          </cell>
          <cell r="R1113" t="str">
            <v>平成</v>
          </cell>
          <cell r="S1113">
            <v>12</v>
          </cell>
          <cell r="T1113">
            <v>3</v>
          </cell>
          <cell r="AB1113">
            <v>11900</v>
          </cell>
          <cell r="AC1113" t="str">
            <v>付知川</v>
          </cell>
          <cell r="AD1113" t="str">
            <v>Ａ</v>
          </cell>
          <cell r="AE1113" t="str">
            <v>イ</v>
          </cell>
          <cell r="AF1113">
            <v>20</v>
          </cell>
          <cell r="AI1113" t="str">
            <v>松島川</v>
          </cell>
          <cell r="AK1113" t="str">
            <v>付知川</v>
          </cell>
          <cell r="AL1113" t="str">
            <v>下村</v>
          </cell>
          <cell r="AM1113">
            <v>1.7</v>
          </cell>
          <cell r="AO1113" t="str">
            <v>中津川市</v>
          </cell>
          <cell r="AQ1113" t="str">
            <v/>
          </cell>
          <cell r="AR1113" t="str">
            <v>オキシディションディッチ法</v>
          </cell>
          <cell r="AS1113" t="str">
            <v>2120602007</v>
          </cell>
          <cell r="AT1113" t="str">
            <v/>
          </cell>
          <cell r="AU1113" t="str">
            <v>10</v>
          </cell>
          <cell r="AV1113" t="str">
            <v>10</v>
          </cell>
          <cell r="AW1113">
            <v>0</v>
          </cell>
          <cell r="AX1113">
            <v>0</v>
          </cell>
          <cell r="AY1113">
            <v>0</v>
          </cell>
          <cell r="AZ1113">
            <v>0</v>
          </cell>
          <cell r="BA1113">
            <v>0</v>
          </cell>
          <cell r="BD1113" t="str">
            <v/>
          </cell>
          <cell r="BE1113">
            <v>1</v>
          </cell>
          <cell r="BG1113" t="str">
            <v>1100</v>
          </cell>
        </row>
        <row r="1114">
          <cell r="B1114" t="str">
            <v>G212060206100800</v>
          </cell>
          <cell r="C1114" t="str">
            <v>21.岐阜県</v>
          </cell>
          <cell r="D1114" t="str">
            <v>206</v>
          </cell>
          <cell r="E1114" t="str">
            <v>中津川市</v>
          </cell>
          <cell r="F1114" t="str">
            <v>02</v>
          </cell>
          <cell r="G1114" t="str">
            <v>特環 単独</v>
          </cell>
          <cell r="H1114" t="str">
            <v>特定環境保全公共下水道</v>
          </cell>
          <cell r="I1114" t="str">
            <v>単独</v>
          </cell>
          <cell r="J1114" t="str">
            <v>008</v>
          </cell>
          <cell r="K1114" t="str">
            <v>苗木浄化センター</v>
          </cell>
          <cell r="M1114" t="str">
            <v>1</v>
          </cell>
          <cell r="N1114" t="str">
            <v>1</v>
          </cell>
          <cell r="Q1114">
            <v>38047</v>
          </cell>
          <cell r="R1114" t="str">
            <v>平成</v>
          </cell>
          <cell r="S1114">
            <v>16</v>
          </cell>
          <cell r="T1114">
            <v>3</v>
          </cell>
          <cell r="AB1114">
            <v>9420</v>
          </cell>
          <cell r="AC1114" t="str">
            <v>付知川</v>
          </cell>
          <cell r="AD1114" t="str">
            <v>Ａ</v>
          </cell>
          <cell r="AE1114" t="str">
            <v>イ</v>
          </cell>
          <cell r="AI1114" t="str">
            <v>津戸中央排水路</v>
          </cell>
          <cell r="AK1114" t="str">
            <v>付知川</v>
          </cell>
          <cell r="AQ1114" t="str">
            <v/>
          </cell>
          <cell r="AR1114" t="str">
            <v>酸素活性汚泥法</v>
          </cell>
          <cell r="AS1114" t="str">
            <v>2120602008</v>
          </cell>
          <cell r="AT1114" t="str">
            <v/>
          </cell>
          <cell r="AU1114" t="str">
            <v>10</v>
          </cell>
          <cell r="AV1114" t="str">
            <v>10</v>
          </cell>
          <cell r="AW1114">
            <v>0</v>
          </cell>
          <cell r="AX1114">
            <v>0</v>
          </cell>
          <cell r="AY1114">
            <v>0</v>
          </cell>
          <cell r="AZ1114">
            <v>0</v>
          </cell>
          <cell r="BA1114">
            <v>0</v>
          </cell>
          <cell r="BD1114" t="str">
            <v/>
          </cell>
          <cell r="BE1114">
            <v>1</v>
          </cell>
          <cell r="BG1114" t="str">
            <v>1100</v>
          </cell>
        </row>
        <row r="1115">
          <cell r="B1115" t="str">
            <v>G212060106100900</v>
          </cell>
          <cell r="C1115" t="str">
            <v>21.岐阜県</v>
          </cell>
          <cell r="D1115" t="str">
            <v>206</v>
          </cell>
          <cell r="E1115" t="str">
            <v>中津川市</v>
          </cell>
          <cell r="F1115" t="str">
            <v>01</v>
          </cell>
          <cell r="G1115" t="str">
            <v>公共 単独</v>
          </cell>
          <cell r="H1115" t="str">
            <v>公共下水道</v>
          </cell>
          <cell r="I1115" t="str">
            <v>単独</v>
          </cell>
          <cell r="J1115" t="str">
            <v>009</v>
          </cell>
          <cell r="K1115" t="str">
            <v>坂本浄化センター</v>
          </cell>
          <cell r="M1115" t="str">
            <v>1</v>
          </cell>
          <cell r="N1115" t="str">
            <v>1</v>
          </cell>
          <cell r="Q1115">
            <v>40632</v>
          </cell>
          <cell r="R1115" t="str">
            <v>平成</v>
          </cell>
          <cell r="S1115">
            <v>23</v>
          </cell>
          <cell r="T1115">
            <v>3</v>
          </cell>
          <cell r="AB1115">
            <v>20400</v>
          </cell>
          <cell r="AC1115" t="str">
            <v>木曽川</v>
          </cell>
          <cell r="AD1115" t="str">
            <v>Ａ</v>
          </cell>
          <cell r="AE1115" t="str">
            <v>ロ</v>
          </cell>
          <cell r="AF1115">
            <v>6</v>
          </cell>
          <cell r="AK1115" t="str">
            <v>千旦林川</v>
          </cell>
          <cell r="AQ1115" t="str">
            <v/>
          </cell>
          <cell r="AR1115" t="str">
            <v>高度処理オキシディションディッチ法</v>
          </cell>
          <cell r="AS1115" t="str">
            <v>2120601009</v>
          </cell>
          <cell r="AT1115" t="str">
            <v/>
          </cell>
          <cell r="AU1115" t="str">
            <v>10</v>
          </cell>
          <cell r="AV1115" t="str">
            <v>10</v>
          </cell>
          <cell r="AW1115">
            <v>0</v>
          </cell>
          <cell r="AX1115">
            <v>0</v>
          </cell>
          <cell r="AY1115">
            <v>0</v>
          </cell>
          <cell r="AZ1115">
            <v>0</v>
          </cell>
          <cell r="BA1115">
            <v>0</v>
          </cell>
          <cell r="BD1115" t="str">
            <v/>
          </cell>
          <cell r="BE1115">
            <v>1</v>
          </cell>
          <cell r="BG1115" t="str">
            <v>1100</v>
          </cell>
        </row>
        <row r="1116">
          <cell r="B1116" t="str">
            <v>G212070106100100</v>
          </cell>
          <cell r="C1116" t="str">
            <v>21.岐阜県</v>
          </cell>
          <cell r="D1116" t="str">
            <v>207</v>
          </cell>
          <cell r="E1116" t="str">
            <v>美濃市</v>
          </cell>
          <cell r="F1116" t="str">
            <v>01</v>
          </cell>
          <cell r="G1116" t="str">
            <v>公共 単独</v>
          </cell>
          <cell r="H1116" t="str">
            <v>公共下水道</v>
          </cell>
          <cell r="I1116" t="str">
            <v>単独</v>
          </cell>
          <cell r="J1116" t="str">
            <v>001</v>
          </cell>
          <cell r="K1116" t="str">
            <v>長良川右岸浄化センター</v>
          </cell>
          <cell r="M1116" t="str">
            <v>1</v>
          </cell>
          <cell r="N1116" t="str">
            <v>1</v>
          </cell>
          <cell r="Q1116">
            <v>35247</v>
          </cell>
          <cell r="R1116" t="str">
            <v>平成</v>
          </cell>
          <cell r="S1116">
            <v>8</v>
          </cell>
          <cell r="T1116">
            <v>7</v>
          </cell>
          <cell r="AB1116">
            <v>4400</v>
          </cell>
          <cell r="AF1116">
            <v>15</v>
          </cell>
          <cell r="AI1116" t="str">
            <v>渡来川</v>
          </cell>
          <cell r="AK1116" t="str">
            <v>長良川</v>
          </cell>
          <cell r="AL1116" t="str">
            <v>小瀬</v>
          </cell>
          <cell r="AN1116">
            <v>4.0999999999999996</v>
          </cell>
          <cell r="AO1116" t="str">
            <v>関市</v>
          </cell>
          <cell r="AQ1116" t="str">
            <v/>
          </cell>
          <cell r="AR1116" t="str">
            <v>好気性ろ床法</v>
          </cell>
          <cell r="AS1116" t="str">
            <v>2120701001</v>
          </cell>
          <cell r="AT1116" t="str">
            <v/>
          </cell>
          <cell r="AU1116" t="str">
            <v>10</v>
          </cell>
          <cell r="AV1116" t="str">
            <v>10</v>
          </cell>
          <cell r="AW1116">
            <v>0</v>
          </cell>
          <cell r="AX1116">
            <v>0</v>
          </cell>
          <cell r="AY1116">
            <v>0</v>
          </cell>
          <cell r="AZ1116">
            <v>0</v>
          </cell>
          <cell r="BA1116">
            <v>0</v>
          </cell>
          <cell r="BD1116" t="str">
            <v/>
          </cell>
          <cell r="BE1116">
            <v>1</v>
          </cell>
          <cell r="BG1116" t="str">
            <v>1100</v>
          </cell>
        </row>
        <row r="1117">
          <cell r="B1117" t="str">
            <v>G212070106100200</v>
          </cell>
          <cell r="C1117" t="str">
            <v>21.岐阜県</v>
          </cell>
          <cell r="D1117" t="str">
            <v>207</v>
          </cell>
          <cell r="E1117" t="str">
            <v>美濃市</v>
          </cell>
          <cell r="F1117" t="str">
            <v>01</v>
          </cell>
          <cell r="G1117" t="str">
            <v>公共 単独</v>
          </cell>
          <cell r="H1117" t="str">
            <v>公共下水道</v>
          </cell>
          <cell r="I1117" t="str">
            <v>単独</v>
          </cell>
          <cell r="J1117" t="str">
            <v>002</v>
          </cell>
          <cell r="K1117" t="str">
            <v>長良川左岸浄化センター</v>
          </cell>
          <cell r="M1117" t="str">
            <v>1</v>
          </cell>
          <cell r="N1117" t="str">
            <v>1</v>
          </cell>
          <cell r="Q1117">
            <v>37438</v>
          </cell>
          <cell r="R1117" t="str">
            <v>平成</v>
          </cell>
          <cell r="S1117">
            <v>14</v>
          </cell>
          <cell r="T1117">
            <v>7</v>
          </cell>
          <cell r="AB1117">
            <v>24500</v>
          </cell>
          <cell r="AC1117" t="str">
            <v>長良川中流域</v>
          </cell>
          <cell r="AD1117" t="str">
            <v>Ａ</v>
          </cell>
          <cell r="AE1117" t="str">
            <v>イ</v>
          </cell>
          <cell r="AF1117">
            <v>15</v>
          </cell>
          <cell r="AK1117" t="str">
            <v>長良川</v>
          </cell>
          <cell r="AL1117" t="str">
            <v>小瀬</v>
          </cell>
          <cell r="AN1117">
            <v>1.4</v>
          </cell>
          <cell r="AO1117" t="str">
            <v>関市</v>
          </cell>
          <cell r="AQ1117" t="str">
            <v/>
          </cell>
          <cell r="AR1117" t="str">
            <v>オキシディションディッチ法</v>
          </cell>
          <cell r="AS1117" t="str">
            <v>2120701002</v>
          </cell>
          <cell r="AT1117" t="str">
            <v/>
          </cell>
          <cell r="AU1117" t="str">
            <v>10</v>
          </cell>
          <cell r="AV1117" t="str">
            <v>10</v>
          </cell>
          <cell r="AW1117">
            <v>0</v>
          </cell>
          <cell r="AX1117">
            <v>0</v>
          </cell>
          <cell r="AY1117">
            <v>0</v>
          </cell>
          <cell r="AZ1117">
            <v>0</v>
          </cell>
          <cell r="BA1117">
            <v>0</v>
          </cell>
          <cell r="BD1117" t="str">
            <v/>
          </cell>
          <cell r="BE1117">
            <v>1</v>
          </cell>
          <cell r="BG1117" t="str">
            <v>1100</v>
          </cell>
        </row>
        <row r="1118">
          <cell r="B1118" t="str">
            <v>G212070106100300</v>
          </cell>
          <cell r="C1118" t="str">
            <v>21.岐阜県</v>
          </cell>
          <cell r="D1118" t="str">
            <v>207</v>
          </cell>
          <cell r="E1118" t="str">
            <v>美濃市</v>
          </cell>
          <cell r="F1118" t="str">
            <v>01</v>
          </cell>
          <cell r="G1118" t="str">
            <v>公共 単独</v>
          </cell>
          <cell r="H1118" t="str">
            <v>公共下水道</v>
          </cell>
          <cell r="I1118" t="str">
            <v>単独</v>
          </cell>
          <cell r="J1118" t="str">
            <v>003</v>
          </cell>
          <cell r="K1118" t="str">
            <v>長瀬浄化センター</v>
          </cell>
          <cell r="M1118" t="str">
            <v>1</v>
          </cell>
          <cell r="N1118" t="str">
            <v>1</v>
          </cell>
          <cell r="Q1118">
            <v>39569</v>
          </cell>
          <cell r="R1118" t="str">
            <v>平成</v>
          </cell>
          <cell r="S1118">
            <v>20</v>
          </cell>
          <cell r="T1118">
            <v>5</v>
          </cell>
          <cell r="AB1118">
            <v>7000</v>
          </cell>
          <cell r="AC1118" t="str">
            <v>板取川</v>
          </cell>
          <cell r="AD1118" t="str">
            <v>ＡＡ</v>
          </cell>
          <cell r="AE1118" t="str">
            <v>イ</v>
          </cell>
          <cell r="AF1118">
            <v>15</v>
          </cell>
          <cell r="AI1118" t="str">
            <v>既設排水路</v>
          </cell>
          <cell r="AK1118" t="str">
            <v>板取川</v>
          </cell>
          <cell r="AL1118" t="str">
            <v>前野</v>
          </cell>
          <cell r="AN1118">
            <v>2.5</v>
          </cell>
          <cell r="AO1118" t="str">
            <v>美濃市</v>
          </cell>
          <cell r="AQ1118" t="str">
            <v/>
          </cell>
          <cell r="AR1118" t="str">
            <v>オキシディションディッチ法</v>
          </cell>
          <cell r="AS1118" t="str">
            <v>2120701003</v>
          </cell>
          <cell r="AT1118" t="str">
            <v/>
          </cell>
          <cell r="AU1118" t="str">
            <v>10</v>
          </cell>
          <cell r="AV1118" t="str">
            <v>10</v>
          </cell>
          <cell r="AW1118">
            <v>0</v>
          </cell>
          <cell r="AX1118">
            <v>0</v>
          </cell>
          <cell r="AY1118">
            <v>0</v>
          </cell>
          <cell r="AZ1118">
            <v>0</v>
          </cell>
          <cell r="BA1118">
            <v>0</v>
          </cell>
          <cell r="BD1118" t="str">
            <v/>
          </cell>
          <cell r="BE1118">
            <v>1</v>
          </cell>
          <cell r="BG1118" t="str">
            <v>1100</v>
          </cell>
        </row>
        <row r="1119">
          <cell r="B1119" t="str">
            <v>G212080106100100</v>
          </cell>
          <cell r="C1119" t="str">
            <v>21.岐阜県</v>
          </cell>
          <cell r="D1119" t="str">
            <v>208</v>
          </cell>
          <cell r="E1119" t="str">
            <v>瑞浪市</v>
          </cell>
          <cell r="F1119" t="str">
            <v>01</v>
          </cell>
          <cell r="G1119" t="str">
            <v>公共 単独</v>
          </cell>
          <cell r="H1119" t="str">
            <v>公共下水道</v>
          </cell>
          <cell r="I1119" t="str">
            <v>単独</v>
          </cell>
          <cell r="J1119" t="str">
            <v>001</v>
          </cell>
          <cell r="K1119" t="str">
            <v>瑞浪市浄化センター</v>
          </cell>
          <cell r="M1119" t="str">
            <v>1</v>
          </cell>
          <cell r="N1119" t="str">
            <v>1</v>
          </cell>
          <cell r="Q1119">
            <v>23743</v>
          </cell>
          <cell r="R1119" t="str">
            <v>昭和</v>
          </cell>
          <cell r="S1119">
            <v>40</v>
          </cell>
          <cell r="T1119">
            <v>1</v>
          </cell>
          <cell r="AB1119">
            <v>14020</v>
          </cell>
          <cell r="AC1119" t="str">
            <v>庄内川中流(1)</v>
          </cell>
          <cell r="AD1119" t="str">
            <v>Ｂ</v>
          </cell>
          <cell r="AE1119" t="str">
            <v>イ</v>
          </cell>
          <cell r="AF1119">
            <v>15</v>
          </cell>
          <cell r="AG1119">
            <v>15</v>
          </cell>
          <cell r="AH1119">
            <v>1.5</v>
          </cell>
          <cell r="AK1119" t="str">
            <v>土岐川</v>
          </cell>
          <cell r="AQ1119" t="str">
            <v/>
          </cell>
          <cell r="AR1119" t="str">
            <v>嫌気無酸素好気法</v>
          </cell>
          <cell r="AS1119" t="str">
            <v>2120801001</v>
          </cell>
          <cell r="AT1119" t="str">
            <v/>
          </cell>
          <cell r="AU1119" t="str">
            <v>10</v>
          </cell>
          <cell r="AV1119" t="str">
            <v>10</v>
          </cell>
          <cell r="AW1119">
            <v>0</v>
          </cell>
          <cell r="AX1119">
            <v>0</v>
          </cell>
          <cell r="AY1119">
            <v>0</v>
          </cell>
          <cell r="AZ1119">
            <v>0</v>
          </cell>
          <cell r="BA1119">
            <v>0</v>
          </cell>
          <cell r="BD1119" t="str">
            <v/>
          </cell>
          <cell r="BE1119">
            <v>1</v>
          </cell>
          <cell r="BG1119" t="str">
            <v>1100</v>
          </cell>
        </row>
        <row r="1120">
          <cell r="B1120" t="str">
            <v>G212090106100100</v>
          </cell>
          <cell r="C1120" t="str">
            <v>21.岐阜県</v>
          </cell>
          <cell r="D1120" t="str">
            <v>209</v>
          </cell>
          <cell r="E1120" t="str">
            <v>羽島市</v>
          </cell>
          <cell r="F1120" t="str">
            <v>01</v>
          </cell>
          <cell r="G1120" t="str">
            <v>公共 単独</v>
          </cell>
          <cell r="H1120" t="str">
            <v>公共下水道</v>
          </cell>
          <cell r="I1120" t="str">
            <v>単独</v>
          </cell>
          <cell r="J1120" t="str">
            <v>001</v>
          </cell>
          <cell r="K1120" t="str">
            <v>羽島市浄化センター</v>
          </cell>
          <cell r="M1120" t="str">
            <v>1</v>
          </cell>
          <cell r="N1120" t="str">
            <v>1</v>
          </cell>
          <cell r="Q1120">
            <v>36617</v>
          </cell>
          <cell r="R1120" t="str">
            <v>平成</v>
          </cell>
          <cell r="S1120">
            <v>12</v>
          </cell>
          <cell r="T1120">
            <v>4</v>
          </cell>
          <cell r="AB1120">
            <v>64000</v>
          </cell>
          <cell r="AC1120" t="str">
            <v>桑原川</v>
          </cell>
          <cell r="AD1120" t="str">
            <v>Ｃ</v>
          </cell>
          <cell r="AE1120" t="str">
            <v>イ</v>
          </cell>
          <cell r="AF1120">
            <v>15</v>
          </cell>
          <cell r="AJ1120" t="str">
            <v>桑原川支流市之枝排水路</v>
          </cell>
          <cell r="AQ1120" t="str">
            <v/>
          </cell>
          <cell r="AR1120" t="str">
            <v>標準活性汚泥法</v>
          </cell>
          <cell r="AS1120" t="str">
            <v>2120901001</v>
          </cell>
          <cell r="AT1120" t="str">
            <v/>
          </cell>
          <cell r="AU1120" t="str">
            <v>10</v>
          </cell>
          <cell r="AV1120" t="str">
            <v>10</v>
          </cell>
          <cell r="AW1120">
            <v>0</v>
          </cell>
          <cell r="AX1120">
            <v>0</v>
          </cell>
          <cell r="AY1120">
            <v>0</v>
          </cell>
          <cell r="AZ1120">
            <v>0</v>
          </cell>
          <cell r="BA1120">
            <v>0</v>
          </cell>
          <cell r="BD1120" t="str">
            <v/>
          </cell>
          <cell r="BE1120">
            <v>1</v>
          </cell>
          <cell r="BG1120" t="str">
            <v>1100</v>
          </cell>
        </row>
        <row r="1121">
          <cell r="B1121" t="str">
            <v>G212100106100100</v>
          </cell>
          <cell r="C1121" t="str">
            <v>21.岐阜県</v>
          </cell>
          <cell r="D1121" t="str">
            <v>210</v>
          </cell>
          <cell r="E1121" t="str">
            <v>恵那市</v>
          </cell>
          <cell r="F1121" t="str">
            <v>01</v>
          </cell>
          <cell r="G1121" t="str">
            <v>公共 単独</v>
          </cell>
          <cell r="H1121" t="str">
            <v>公共下水道</v>
          </cell>
          <cell r="I1121" t="str">
            <v>単独</v>
          </cell>
          <cell r="J1121" t="str">
            <v>001</v>
          </cell>
          <cell r="K1121" t="str">
            <v>恵那浄化センター</v>
          </cell>
          <cell r="M1121" t="str">
            <v>1</v>
          </cell>
          <cell r="N1121" t="str">
            <v>1</v>
          </cell>
          <cell r="Q1121">
            <v>28946</v>
          </cell>
          <cell r="R1121" t="str">
            <v>昭和</v>
          </cell>
          <cell r="S1121">
            <v>54</v>
          </cell>
          <cell r="T1121">
            <v>4</v>
          </cell>
          <cell r="AB1121">
            <v>10800</v>
          </cell>
          <cell r="AC1121" t="str">
            <v>阿木川下流</v>
          </cell>
          <cell r="AD1121" t="str">
            <v>Ｃ</v>
          </cell>
          <cell r="AE1121" t="str">
            <v>イ</v>
          </cell>
          <cell r="AF1121">
            <v>15</v>
          </cell>
          <cell r="AK1121" t="str">
            <v>阿木川</v>
          </cell>
          <cell r="AL1121" t="str">
            <v>三郷用水</v>
          </cell>
          <cell r="AM1121">
            <v>10</v>
          </cell>
          <cell r="AO1121" t="str">
            <v>恵那市</v>
          </cell>
          <cell r="AQ1121" t="str">
            <v/>
          </cell>
          <cell r="AR1121" t="str">
            <v>標準活性汚泥法</v>
          </cell>
          <cell r="AS1121" t="str">
            <v>2121001001</v>
          </cell>
          <cell r="AT1121" t="str">
            <v/>
          </cell>
          <cell r="AU1121" t="str">
            <v>10</v>
          </cell>
          <cell r="AV1121" t="str">
            <v>10</v>
          </cell>
          <cell r="AW1121">
            <v>0</v>
          </cell>
          <cell r="AX1121">
            <v>0</v>
          </cell>
          <cell r="AY1121">
            <v>0</v>
          </cell>
          <cell r="AZ1121">
            <v>0</v>
          </cell>
          <cell r="BA1121">
            <v>0</v>
          </cell>
          <cell r="BD1121" t="str">
            <v/>
          </cell>
          <cell r="BE1121">
            <v>1</v>
          </cell>
          <cell r="BG1121" t="str">
            <v>1100</v>
          </cell>
        </row>
        <row r="1122">
          <cell r="B1122" t="str">
            <v>G212100206100200</v>
          </cell>
          <cell r="C1122" t="str">
            <v>21.岐阜県</v>
          </cell>
          <cell r="D1122" t="str">
            <v>210</v>
          </cell>
          <cell r="E1122" t="str">
            <v>恵那市</v>
          </cell>
          <cell r="F1122" t="str">
            <v>02</v>
          </cell>
          <cell r="G1122" t="str">
            <v>特環 単独</v>
          </cell>
          <cell r="H1122" t="str">
            <v>特定環境保全公共下水道</v>
          </cell>
          <cell r="I1122" t="str">
            <v>単独</v>
          </cell>
          <cell r="J1122" t="str">
            <v>002</v>
          </cell>
          <cell r="K1122" t="str">
            <v>岩村浄化センター</v>
          </cell>
          <cell r="M1122" t="str">
            <v>1</v>
          </cell>
          <cell r="N1122" t="str">
            <v>1</v>
          </cell>
          <cell r="Q1122">
            <v>34669</v>
          </cell>
          <cell r="R1122" t="str">
            <v>平成</v>
          </cell>
          <cell r="S1122">
            <v>6</v>
          </cell>
          <cell r="T1122">
            <v>12</v>
          </cell>
          <cell r="AB1122">
            <v>2964</v>
          </cell>
          <cell r="AC1122" t="str">
            <v>阿木川</v>
          </cell>
          <cell r="AD1122" t="str">
            <v>Ａ</v>
          </cell>
          <cell r="AF1122">
            <v>15</v>
          </cell>
          <cell r="AG1122">
            <v>17</v>
          </cell>
          <cell r="AH1122">
            <v>1</v>
          </cell>
          <cell r="AK1122" t="str">
            <v>岩村川</v>
          </cell>
          <cell r="AL1122" t="str">
            <v>飯羽間簡水</v>
          </cell>
          <cell r="AM1122">
            <v>1</v>
          </cell>
          <cell r="AO1122" t="str">
            <v>恵那市</v>
          </cell>
          <cell r="AQ1122" t="str">
            <v/>
          </cell>
          <cell r="AR1122" t="str">
            <v>回分式活性汚泥法</v>
          </cell>
          <cell r="AS1122" t="str">
            <v>2121002002</v>
          </cell>
          <cell r="AT1122" t="str">
            <v/>
          </cell>
          <cell r="AU1122" t="str">
            <v>10</v>
          </cell>
          <cell r="AV1122" t="str">
            <v>10</v>
          </cell>
          <cell r="AW1122">
            <v>0</v>
          </cell>
          <cell r="AX1122">
            <v>0</v>
          </cell>
          <cell r="AY1122">
            <v>0</v>
          </cell>
          <cell r="AZ1122">
            <v>0</v>
          </cell>
          <cell r="BA1122">
            <v>0</v>
          </cell>
          <cell r="BD1122" t="str">
            <v/>
          </cell>
          <cell r="BE1122">
            <v>1</v>
          </cell>
          <cell r="BG1122" t="str">
            <v>1100</v>
          </cell>
        </row>
        <row r="1123">
          <cell r="B1123" t="str">
            <v>G212100206100300</v>
          </cell>
          <cell r="C1123" t="str">
            <v>21.岐阜県</v>
          </cell>
          <cell r="D1123" t="str">
            <v>210</v>
          </cell>
          <cell r="E1123" t="str">
            <v>恵那市</v>
          </cell>
          <cell r="F1123" t="str">
            <v>02</v>
          </cell>
          <cell r="G1123" t="str">
            <v>特環 単独</v>
          </cell>
          <cell r="H1123" t="str">
            <v>特定環境保全公共下水道</v>
          </cell>
          <cell r="I1123" t="str">
            <v>単独</v>
          </cell>
          <cell r="J1123" t="str">
            <v>003</v>
          </cell>
          <cell r="K1123" t="str">
            <v>アクアパーク恵那峡</v>
          </cell>
          <cell r="M1123" t="str">
            <v>1</v>
          </cell>
          <cell r="N1123" t="str">
            <v>1</v>
          </cell>
          <cell r="Q1123">
            <v>37347</v>
          </cell>
          <cell r="R1123" t="str">
            <v>平成</v>
          </cell>
          <cell r="S1123">
            <v>14</v>
          </cell>
          <cell r="T1123">
            <v>4</v>
          </cell>
          <cell r="AB1123">
            <v>7204</v>
          </cell>
          <cell r="AC1123" t="str">
            <v>設定なし</v>
          </cell>
          <cell r="AF1123">
            <v>15</v>
          </cell>
          <cell r="AK1123" t="str">
            <v>濁川</v>
          </cell>
          <cell r="AQ1123" t="str">
            <v/>
          </cell>
          <cell r="AR1123" t="str">
            <v>オキシディションディッチ法</v>
          </cell>
          <cell r="AS1123" t="str">
            <v>2121002003</v>
          </cell>
          <cell r="AT1123" t="str">
            <v/>
          </cell>
          <cell r="AU1123" t="str">
            <v>10</v>
          </cell>
          <cell r="AV1123" t="str">
            <v>10</v>
          </cell>
          <cell r="AW1123">
            <v>0</v>
          </cell>
          <cell r="AX1123">
            <v>0</v>
          </cell>
          <cell r="AY1123">
            <v>0</v>
          </cell>
          <cell r="AZ1123">
            <v>0</v>
          </cell>
          <cell r="BA1123">
            <v>0</v>
          </cell>
          <cell r="BD1123" t="str">
            <v/>
          </cell>
          <cell r="BE1123">
            <v>1</v>
          </cell>
          <cell r="BG1123" t="str">
            <v>1100</v>
          </cell>
        </row>
        <row r="1124">
          <cell r="B1124" t="str">
            <v>G212100206100400</v>
          </cell>
          <cell r="C1124" t="str">
            <v>21.岐阜県</v>
          </cell>
          <cell r="D1124" t="str">
            <v>210</v>
          </cell>
          <cell r="E1124" t="str">
            <v>恵那市</v>
          </cell>
          <cell r="F1124" t="str">
            <v>02</v>
          </cell>
          <cell r="G1124" t="str">
            <v>特環 単独</v>
          </cell>
          <cell r="H1124" t="str">
            <v>特定環境保全公共下水道</v>
          </cell>
          <cell r="I1124" t="str">
            <v>単独</v>
          </cell>
          <cell r="J1124" t="str">
            <v>004</v>
          </cell>
          <cell r="K1124" t="str">
            <v>明智浄化センター</v>
          </cell>
          <cell r="M1124" t="str">
            <v>1</v>
          </cell>
          <cell r="N1124" t="str">
            <v>1</v>
          </cell>
          <cell r="Q1124">
            <v>37681</v>
          </cell>
          <cell r="R1124" t="str">
            <v>平成</v>
          </cell>
          <cell r="S1124">
            <v>15</v>
          </cell>
          <cell r="T1124">
            <v>3</v>
          </cell>
          <cell r="AB1124">
            <v>4500</v>
          </cell>
          <cell r="AC1124" t="str">
            <v>矢作川</v>
          </cell>
          <cell r="AD1124" t="str">
            <v>Ａ</v>
          </cell>
          <cell r="AE1124" t="str">
            <v>イ</v>
          </cell>
          <cell r="AF1124">
            <v>10</v>
          </cell>
          <cell r="AG1124">
            <v>15</v>
          </cell>
          <cell r="AH1124">
            <v>1.5</v>
          </cell>
          <cell r="AK1124" t="str">
            <v>明智川</v>
          </cell>
          <cell r="AL1124" t="str">
            <v>明智簡水</v>
          </cell>
          <cell r="AM1124">
            <v>2</v>
          </cell>
          <cell r="AO1124" t="str">
            <v>恵那市</v>
          </cell>
          <cell r="AQ1124" t="str">
            <v/>
          </cell>
          <cell r="AR1124" t="str">
            <v>オキシディションディッチ法</v>
          </cell>
          <cell r="AS1124" t="str">
            <v>2121002004</v>
          </cell>
          <cell r="AT1124" t="str">
            <v/>
          </cell>
          <cell r="AU1124" t="str">
            <v>10</v>
          </cell>
          <cell r="AV1124" t="str">
            <v>10</v>
          </cell>
          <cell r="AW1124">
            <v>0</v>
          </cell>
          <cell r="AX1124">
            <v>0</v>
          </cell>
          <cell r="AY1124">
            <v>0</v>
          </cell>
          <cell r="AZ1124">
            <v>0</v>
          </cell>
          <cell r="BA1124">
            <v>0</v>
          </cell>
          <cell r="BD1124" t="str">
            <v/>
          </cell>
          <cell r="BE1124">
            <v>1</v>
          </cell>
          <cell r="BG1124" t="str">
            <v>1100</v>
          </cell>
        </row>
        <row r="1125">
          <cell r="B1125" t="str">
            <v>G212100206100500</v>
          </cell>
          <cell r="C1125" t="str">
            <v>21.岐阜県</v>
          </cell>
          <cell r="D1125" t="str">
            <v>210</v>
          </cell>
          <cell r="E1125" t="str">
            <v>恵那市</v>
          </cell>
          <cell r="F1125" t="str">
            <v>02</v>
          </cell>
          <cell r="G1125" t="str">
            <v>特環 単独</v>
          </cell>
          <cell r="H1125" t="str">
            <v>特定環境保全公共下水道</v>
          </cell>
          <cell r="I1125" t="str">
            <v>単独</v>
          </cell>
          <cell r="J1125" t="str">
            <v>005</v>
          </cell>
          <cell r="K1125" t="str">
            <v>上矢作浄化センター</v>
          </cell>
          <cell r="M1125" t="str">
            <v>1</v>
          </cell>
          <cell r="N1125" t="str">
            <v>1</v>
          </cell>
          <cell r="Q1125">
            <v>38078</v>
          </cell>
          <cell r="R1125" t="str">
            <v>平成</v>
          </cell>
          <cell r="S1125">
            <v>16</v>
          </cell>
          <cell r="T1125">
            <v>4</v>
          </cell>
          <cell r="AB1125">
            <v>5300</v>
          </cell>
          <cell r="AC1125" t="str">
            <v>矢作川</v>
          </cell>
          <cell r="AD1125" t="str">
            <v>ＡＡ</v>
          </cell>
          <cell r="AE1125" t="str">
            <v>イ</v>
          </cell>
          <cell r="AF1125">
            <v>10</v>
          </cell>
          <cell r="AG1125">
            <v>15</v>
          </cell>
          <cell r="AH1125">
            <v>1.4</v>
          </cell>
          <cell r="AK1125" t="str">
            <v>上村川</v>
          </cell>
          <cell r="AQ1125" t="str">
            <v/>
          </cell>
          <cell r="AR1125" t="str">
            <v>オキシディションディッチ法</v>
          </cell>
          <cell r="AS1125" t="str">
            <v>2121002005</v>
          </cell>
          <cell r="AT1125" t="str">
            <v/>
          </cell>
          <cell r="AU1125" t="str">
            <v>10</v>
          </cell>
          <cell r="AV1125" t="str">
            <v>10</v>
          </cell>
          <cell r="AW1125">
            <v>0</v>
          </cell>
          <cell r="AX1125">
            <v>0</v>
          </cell>
          <cell r="AY1125">
            <v>0</v>
          </cell>
          <cell r="AZ1125">
            <v>0</v>
          </cell>
          <cell r="BA1125">
            <v>0</v>
          </cell>
          <cell r="BD1125" t="str">
            <v/>
          </cell>
          <cell r="BE1125">
            <v>1</v>
          </cell>
          <cell r="BG1125" t="str">
            <v>1100</v>
          </cell>
        </row>
        <row r="1126">
          <cell r="B1126" t="str">
            <v>G212100206100600</v>
          </cell>
          <cell r="C1126" t="str">
            <v>21.岐阜県</v>
          </cell>
          <cell r="D1126" t="str">
            <v>210</v>
          </cell>
          <cell r="E1126" t="str">
            <v>恵那市</v>
          </cell>
          <cell r="F1126" t="str">
            <v>02</v>
          </cell>
          <cell r="G1126" t="str">
            <v>特環 単独</v>
          </cell>
          <cell r="H1126" t="str">
            <v>特定環境保全公共下水道</v>
          </cell>
          <cell r="I1126" t="str">
            <v>単独</v>
          </cell>
          <cell r="J1126" t="str">
            <v>006</v>
          </cell>
          <cell r="K1126" t="str">
            <v>竹折浄化センター</v>
          </cell>
          <cell r="M1126" t="str">
            <v>1</v>
          </cell>
          <cell r="N1126" t="str">
            <v>1</v>
          </cell>
          <cell r="Q1126">
            <v>39173</v>
          </cell>
          <cell r="R1126" t="str">
            <v>平成</v>
          </cell>
          <cell r="S1126">
            <v>19</v>
          </cell>
          <cell r="T1126">
            <v>4</v>
          </cell>
          <cell r="AB1126">
            <v>4570</v>
          </cell>
          <cell r="AC1126" t="str">
            <v>庄内川</v>
          </cell>
          <cell r="AD1126" t="str">
            <v>Ａ</v>
          </cell>
          <cell r="AE1126" t="str">
            <v>イ</v>
          </cell>
          <cell r="AF1126">
            <v>15</v>
          </cell>
          <cell r="AG1126">
            <v>15</v>
          </cell>
          <cell r="AH1126">
            <v>2.5</v>
          </cell>
          <cell r="AI1126" t="str">
            <v>月沢川</v>
          </cell>
          <cell r="AQ1126" t="str">
            <v/>
          </cell>
          <cell r="AR1126" t="str">
            <v>オキシディションディッチ法</v>
          </cell>
          <cell r="AS1126" t="str">
            <v>2121002006</v>
          </cell>
          <cell r="AT1126" t="str">
            <v/>
          </cell>
          <cell r="AU1126" t="str">
            <v>10</v>
          </cell>
          <cell r="AV1126" t="str">
            <v>10</v>
          </cell>
          <cell r="AW1126">
            <v>0</v>
          </cell>
          <cell r="AX1126">
            <v>0</v>
          </cell>
          <cell r="AY1126">
            <v>0</v>
          </cell>
          <cell r="AZ1126">
            <v>0</v>
          </cell>
          <cell r="BA1126">
            <v>0</v>
          </cell>
          <cell r="BD1126" t="str">
            <v/>
          </cell>
          <cell r="BE1126">
            <v>1</v>
          </cell>
          <cell r="BG1126" t="str">
            <v>1100</v>
          </cell>
        </row>
        <row r="1127">
          <cell r="B1127" t="str">
            <v>G212110106100100</v>
          </cell>
          <cell r="C1127" t="str">
            <v>21.岐阜県</v>
          </cell>
          <cell r="D1127" t="str">
            <v>211</v>
          </cell>
          <cell r="E1127" t="str">
            <v>美濃加茂市</v>
          </cell>
          <cell r="F1127" t="str">
            <v>01</v>
          </cell>
          <cell r="G1127" t="str">
            <v>公共 単独</v>
          </cell>
          <cell r="H1127" t="str">
            <v>公共下水道</v>
          </cell>
          <cell r="I1127" t="str">
            <v>単独</v>
          </cell>
          <cell r="J1127" t="str">
            <v>001</v>
          </cell>
          <cell r="K1127" t="str">
            <v>蜂屋川クリーンセンター</v>
          </cell>
          <cell r="M1127" t="str">
            <v>1</v>
          </cell>
          <cell r="N1127" t="str">
            <v>1</v>
          </cell>
          <cell r="P1127" t="str">
            <v>1</v>
          </cell>
          <cell r="Q1127">
            <v>38078</v>
          </cell>
          <cell r="R1127" t="str">
            <v>平成</v>
          </cell>
          <cell r="S1127">
            <v>16</v>
          </cell>
          <cell r="T1127">
            <v>4</v>
          </cell>
          <cell r="AB1127">
            <v>34900</v>
          </cell>
          <cell r="AC1127" t="str">
            <v>津保川</v>
          </cell>
          <cell r="AD1127" t="str">
            <v>Ａ</v>
          </cell>
          <cell r="AE1127" t="str">
            <v>イ</v>
          </cell>
          <cell r="AF1127">
            <v>15</v>
          </cell>
          <cell r="AG1127">
            <v>20</v>
          </cell>
          <cell r="AH1127">
            <v>2.5</v>
          </cell>
          <cell r="AK1127" t="str">
            <v>蜂屋川及び詰田川</v>
          </cell>
          <cell r="AQ1127" t="str">
            <v/>
          </cell>
          <cell r="AR1127" t="str">
            <v>オキシディションディッチ法</v>
          </cell>
          <cell r="AS1127" t="str">
            <v>2121101001</v>
          </cell>
          <cell r="AT1127" t="str">
            <v/>
          </cell>
          <cell r="AU1127" t="str">
            <v>10</v>
          </cell>
          <cell r="AV1127" t="str">
            <v>10</v>
          </cell>
          <cell r="AW1127">
            <v>1</v>
          </cell>
          <cell r="AX1127">
            <v>0</v>
          </cell>
          <cell r="AY1127">
            <v>0</v>
          </cell>
          <cell r="AZ1127">
            <v>0</v>
          </cell>
          <cell r="BA1127">
            <v>0</v>
          </cell>
          <cell r="BD1127" t="str">
            <v/>
          </cell>
          <cell r="BE1127">
            <v>1</v>
          </cell>
          <cell r="BG1127" t="str">
            <v>1101</v>
          </cell>
        </row>
        <row r="1128">
          <cell r="B1128" t="str">
            <v>G212120106100100</v>
          </cell>
          <cell r="C1128" t="str">
            <v>21.岐阜県</v>
          </cell>
          <cell r="D1128" t="str">
            <v>212</v>
          </cell>
          <cell r="E1128" t="str">
            <v>土岐市</v>
          </cell>
          <cell r="F1128" t="str">
            <v>01</v>
          </cell>
          <cell r="G1128" t="str">
            <v>公共 単独</v>
          </cell>
          <cell r="H1128" t="str">
            <v>公共下水道</v>
          </cell>
          <cell r="I1128" t="str">
            <v>単独</v>
          </cell>
          <cell r="J1128" t="str">
            <v>001</v>
          </cell>
          <cell r="K1128" t="str">
            <v>土岐市浄化センター</v>
          </cell>
          <cell r="M1128" t="str">
            <v>1</v>
          </cell>
          <cell r="N1128" t="str">
            <v>1</v>
          </cell>
          <cell r="Q1128">
            <v>31138</v>
          </cell>
          <cell r="R1128" t="str">
            <v>昭和</v>
          </cell>
          <cell r="S1128">
            <v>60</v>
          </cell>
          <cell r="T1128">
            <v>4</v>
          </cell>
          <cell r="AB1128">
            <v>46320</v>
          </cell>
          <cell r="AC1128" t="str">
            <v>庄内川中流</v>
          </cell>
          <cell r="AD1128" t="str">
            <v>Ｂ</v>
          </cell>
          <cell r="AE1128" t="str">
            <v>イ</v>
          </cell>
          <cell r="AF1128">
            <v>15</v>
          </cell>
          <cell r="AG1128">
            <v>15</v>
          </cell>
          <cell r="AH1128">
            <v>1.5</v>
          </cell>
          <cell r="AK1128" t="str">
            <v>土岐川</v>
          </cell>
          <cell r="AQ1128" t="str">
            <v/>
          </cell>
          <cell r="AR1128" t="str">
            <v>ステップ流入式多段硝化脱窒法</v>
          </cell>
          <cell r="AS1128" t="str">
            <v>2121201001</v>
          </cell>
          <cell r="AT1128" t="str">
            <v/>
          </cell>
          <cell r="AU1128" t="str">
            <v>10</v>
          </cell>
          <cell r="AV1128" t="str">
            <v>10</v>
          </cell>
          <cell r="AW1128">
            <v>0</v>
          </cell>
          <cell r="AX1128">
            <v>0</v>
          </cell>
          <cell r="AY1128">
            <v>0</v>
          </cell>
          <cell r="AZ1128">
            <v>0</v>
          </cell>
          <cell r="BA1128">
            <v>0</v>
          </cell>
          <cell r="BD1128" t="str">
            <v/>
          </cell>
          <cell r="BE1128">
            <v>1</v>
          </cell>
          <cell r="BG1128" t="str">
            <v>1100</v>
          </cell>
        </row>
        <row r="1129">
          <cell r="B1129" t="str">
            <v>G212140206100100</v>
          </cell>
          <cell r="C1129" t="str">
            <v>21.岐阜県</v>
          </cell>
          <cell r="D1129" t="str">
            <v>214</v>
          </cell>
          <cell r="E1129" t="str">
            <v>可児市</v>
          </cell>
          <cell r="F1129" t="str">
            <v>02</v>
          </cell>
          <cell r="G1129" t="str">
            <v>特環 単独</v>
          </cell>
          <cell r="H1129" t="str">
            <v>特定環境保全公共下水道</v>
          </cell>
          <cell r="I1129" t="str">
            <v>単独</v>
          </cell>
          <cell r="J1129" t="str">
            <v>001</v>
          </cell>
          <cell r="K1129" t="str">
            <v>久々利浄化センター</v>
          </cell>
          <cell r="M1129" t="str">
            <v>1</v>
          </cell>
          <cell r="N1129" t="str">
            <v>1</v>
          </cell>
          <cell r="Q1129">
            <v>32568</v>
          </cell>
          <cell r="R1129" t="str">
            <v>平成</v>
          </cell>
          <cell r="S1129">
            <v>1</v>
          </cell>
          <cell r="T1129">
            <v>3</v>
          </cell>
          <cell r="AB1129">
            <v>2745</v>
          </cell>
          <cell r="AF1129">
            <v>20</v>
          </cell>
          <cell r="AK1129" t="str">
            <v>久々利川</v>
          </cell>
          <cell r="AQ1129" t="str">
            <v/>
          </cell>
          <cell r="AR1129" t="str">
            <v>オキシディションディッチ法</v>
          </cell>
          <cell r="AS1129" t="str">
            <v>2121402001</v>
          </cell>
          <cell r="AT1129" t="str">
            <v/>
          </cell>
          <cell r="AU1129" t="str">
            <v>10</v>
          </cell>
          <cell r="AV1129" t="str">
            <v>10</v>
          </cell>
          <cell r="AW1129">
            <v>0</v>
          </cell>
          <cell r="AX1129">
            <v>0</v>
          </cell>
          <cell r="AY1129">
            <v>0</v>
          </cell>
          <cell r="AZ1129">
            <v>0</v>
          </cell>
          <cell r="BA1129">
            <v>0</v>
          </cell>
          <cell r="BD1129" t="str">
            <v/>
          </cell>
          <cell r="BE1129">
            <v>1</v>
          </cell>
          <cell r="BG1129" t="str">
            <v>1100</v>
          </cell>
        </row>
        <row r="1130">
          <cell r="B1130" t="str">
            <v>G212150106100100</v>
          </cell>
          <cell r="C1130" t="str">
            <v>21.岐阜県</v>
          </cell>
          <cell r="D1130" t="str">
            <v>215</v>
          </cell>
          <cell r="E1130" t="str">
            <v>山県市</v>
          </cell>
          <cell r="F1130" t="str">
            <v>01</v>
          </cell>
          <cell r="G1130" t="str">
            <v>公共 単独</v>
          </cell>
          <cell r="H1130" t="str">
            <v>公共下水道</v>
          </cell>
          <cell r="I1130" t="str">
            <v>単独</v>
          </cell>
          <cell r="J1130" t="str">
            <v>001</v>
          </cell>
          <cell r="K1130" t="str">
            <v>高富浄化センター</v>
          </cell>
          <cell r="M1130" t="str">
            <v>1</v>
          </cell>
          <cell r="N1130" t="str">
            <v>1</v>
          </cell>
          <cell r="Q1130">
            <v>39539</v>
          </cell>
          <cell r="R1130" t="str">
            <v>平成</v>
          </cell>
          <cell r="S1130">
            <v>20</v>
          </cell>
          <cell r="T1130">
            <v>4</v>
          </cell>
          <cell r="AB1130">
            <v>38000</v>
          </cell>
          <cell r="AC1130" t="str">
            <v>鳥羽川</v>
          </cell>
          <cell r="AD1130" t="str">
            <v>Ｂ</v>
          </cell>
          <cell r="AE1130" t="str">
            <v>イ</v>
          </cell>
          <cell r="AF1130">
            <v>15</v>
          </cell>
          <cell r="AG1130">
            <v>15</v>
          </cell>
          <cell r="AH1130">
            <v>1.5</v>
          </cell>
          <cell r="AI1130" t="str">
            <v>三田叉川</v>
          </cell>
          <cell r="AK1130" t="str">
            <v>鳥羽川</v>
          </cell>
          <cell r="AQ1130" t="str">
            <v/>
          </cell>
          <cell r="AR1130" t="str">
            <v>高度処理オキシディションディッチ法</v>
          </cell>
          <cell r="AS1130" t="str">
            <v>2121501001</v>
          </cell>
          <cell r="AT1130" t="str">
            <v/>
          </cell>
          <cell r="AU1130" t="str">
            <v>10</v>
          </cell>
          <cell r="AV1130" t="str">
            <v>10</v>
          </cell>
          <cell r="AW1130">
            <v>0</v>
          </cell>
          <cell r="AX1130">
            <v>0</v>
          </cell>
          <cell r="AY1130">
            <v>0</v>
          </cell>
          <cell r="AZ1130">
            <v>0</v>
          </cell>
          <cell r="BA1130">
            <v>0</v>
          </cell>
          <cell r="BD1130" t="str">
            <v/>
          </cell>
          <cell r="BE1130">
            <v>1</v>
          </cell>
          <cell r="BG1130" t="str">
            <v>1100</v>
          </cell>
        </row>
        <row r="1131">
          <cell r="B1131" t="str">
            <v>G212160206100100</v>
          </cell>
          <cell r="C1131" t="str">
            <v>21.岐阜県</v>
          </cell>
          <cell r="D1131" t="str">
            <v>216</v>
          </cell>
          <cell r="E1131" t="str">
            <v>瑞穂市</v>
          </cell>
          <cell r="F1131" t="str">
            <v>02</v>
          </cell>
          <cell r="G1131" t="str">
            <v>特環 単独</v>
          </cell>
          <cell r="H1131" t="str">
            <v>特定環境保全公共下水道</v>
          </cell>
          <cell r="I1131" t="str">
            <v>単独</v>
          </cell>
          <cell r="J1131" t="str">
            <v>001</v>
          </cell>
          <cell r="K1131" t="str">
            <v>アクアパークすなみ</v>
          </cell>
          <cell r="M1131" t="str">
            <v>1</v>
          </cell>
          <cell r="N1131" t="str">
            <v>1</v>
          </cell>
          <cell r="P1131" t="str">
            <v>1</v>
          </cell>
          <cell r="Q1131">
            <v>38078</v>
          </cell>
          <cell r="R1131" t="str">
            <v>平成</v>
          </cell>
          <cell r="S1131">
            <v>16</v>
          </cell>
          <cell r="T1131">
            <v>4</v>
          </cell>
          <cell r="AB1131">
            <v>10200</v>
          </cell>
          <cell r="AC1131" t="str">
            <v>長良川</v>
          </cell>
          <cell r="AD1131" t="str">
            <v>Ｂ</v>
          </cell>
          <cell r="AE1131" t="str">
            <v>イ</v>
          </cell>
          <cell r="AF1131">
            <v>20</v>
          </cell>
          <cell r="AK1131" t="str">
            <v>長護寺川</v>
          </cell>
          <cell r="AQ1131" t="str">
            <v/>
          </cell>
          <cell r="AR1131" t="str">
            <v>オキシディションディッチ法</v>
          </cell>
          <cell r="AS1131" t="str">
            <v>2121602001</v>
          </cell>
          <cell r="AT1131" t="str">
            <v/>
          </cell>
          <cell r="AU1131" t="str">
            <v>10</v>
          </cell>
          <cell r="AV1131" t="str">
            <v>10</v>
          </cell>
          <cell r="AW1131">
            <v>1</v>
          </cell>
          <cell r="AX1131">
            <v>0</v>
          </cell>
          <cell r="AY1131">
            <v>0</v>
          </cell>
          <cell r="AZ1131">
            <v>0</v>
          </cell>
          <cell r="BA1131">
            <v>0</v>
          </cell>
          <cell r="BD1131" t="str">
            <v/>
          </cell>
          <cell r="BE1131">
            <v>1</v>
          </cell>
          <cell r="BG1131" t="str">
            <v>1101</v>
          </cell>
        </row>
        <row r="1132">
          <cell r="B1132" t="str">
            <v>G212170106100100</v>
          </cell>
          <cell r="C1132" t="str">
            <v>21.岐阜県</v>
          </cell>
          <cell r="D1132" t="str">
            <v>217</v>
          </cell>
          <cell r="E1132" t="str">
            <v>飛騨市</v>
          </cell>
          <cell r="F1132" t="str">
            <v>01</v>
          </cell>
          <cell r="G1132" t="str">
            <v>公共 単独</v>
          </cell>
          <cell r="H1132" t="str">
            <v>公共下水道</v>
          </cell>
          <cell r="I1132" t="str">
            <v>単独</v>
          </cell>
          <cell r="J1132" t="str">
            <v>001</v>
          </cell>
          <cell r="K1132" t="str">
            <v>古川浄化センター</v>
          </cell>
          <cell r="M1132" t="str">
            <v>1</v>
          </cell>
          <cell r="N1132" t="str">
            <v>1</v>
          </cell>
          <cell r="Q1132">
            <v>35146</v>
          </cell>
          <cell r="R1132" t="str">
            <v>平成</v>
          </cell>
          <cell r="S1132">
            <v>8</v>
          </cell>
          <cell r="T1132">
            <v>3</v>
          </cell>
          <cell r="AB1132">
            <v>11900</v>
          </cell>
          <cell r="AC1132" t="str">
            <v>宮川</v>
          </cell>
          <cell r="AD1132" t="str">
            <v>Ａ</v>
          </cell>
          <cell r="AE1132" t="str">
            <v>イ</v>
          </cell>
          <cell r="AF1132">
            <v>15</v>
          </cell>
          <cell r="AK1132" t="str">
            <v>宮川</v>
          </cell>
          <cell r="AQ1132" t="str">
            <v/>
          </cell>
          <cell r="AR1132" t="str">
            <v>オキシディションディッチ法</v>
          </cell>
          <cell r="AS1132" t="str">
            <v>2121701001</v>
          </cell>
          <cell r="AT1132" t="str">
            <v/>
          </cell>
          <cell r="AU1132" t="str">
            <v>10</v>
          </cell>
          <cell r="AV1132" t="str">
            <v>10</v>
          </cell>
          <cell r="AW1132">
            <v>0</v>
          </cell>
          <cell r="AX1132">
            <v>0</v>
          </cell>
          <cell r="AY1132">
            <v>0</v>
          </cell>
          <cell r="AZ1132">
            <v>0</v>
          </cell>
          <cell r="BA1132">
            <v>0</v>
          </cell>
          <cell r="BD1132" t="str">
            <v/>
          </cell>
          <cell r="BE1132">
            <v>1</v>
          </cell>
          <cell r="BG1132" t="str">
            <v>1100</v>
          </cell>
        </row>
        <row r="1133">
          <cell r="B1133" t="str">
            <v>G212170106100300</v>
          </cell>
          <cell r="C1133" t="str">
            <v>21.岐阜県</v>
          </cell>
          <cell r="D1133" t="str">
            <v>217</v>
          </cell>
          <cell r="E1133" t="str">
            <v>飛騨市</v>
          </cell>
          <cell r="F1133" t="str">
            <v>01</v>
          </cell>
          <cell r="G1133" t="str">
            <v>公共 単独</v>
          </cell>
          <cell r="H1133" t="str">
            <v>公共下水道</v>
          </cell>
          <cell r="I1133" t="str">
            <v>単独</v>
          </cell>
          <cell r="J1133" t="str">
            <v>003</v>
          </cell>
          <cell r="K1133" t="str">
            <v>神岡浄化センター</v>
          </cell>
          <cell r="M1133" t="str">
            <v>1</v>
          </cell>
          <cell r="N1133" t="str">
            <v>1</v>
          </cell>
          <cell r="Q1133">
            <v>38443</v>
          </cell>
          <cell r="R1133" t="str">
            <v>平成</v>
          </cell>
          <cell r="S1133">
            <v>17</v>
          </cell>
          <cell r="T1133">
            <v>4</v>
          </cell>
          <cell r="AB1133">
            <v>3800</v>
          </cell>
          <cell r="AC1133" t="str">
            <v>高原川</v>
          </cell>
          <cell r="AD1133" t="str">
            <v>ＡＡ</v>
          </cell>
          <cell r="AE1133" t="str">
            <v>イ</v>
          </cell>
          <cell r="AK1133" t="str">
            <v>高原川</v>
          </cell>
          <cell r="AQ1133" t="str">
            <v/>
          </cell>
          <cell r="AR1133" t="str">
            <v>オキシディションディッチ法</v>
          </cell>
          <cell r="AS1133" t="str">
            <v>2121701003</v>
          </cell>
          <cell r="AT1133" t="str">
            <v/>
          </cell>
          <cell r="AU1133" t="str">
            <v>10</v>
          </cell>
          <cell r="AV1133" t="str">
            <v>10</v>
          </cell>
          <cell r="AW1133">
            <v>0</v>
          </cell>
          <cell r="AX1133">
            <v>0</v>
          </cell>
          <cell r="AY1133">
            <v>0</v>
          </cell>
          <cell r="AZ1133">
            <v>0</v>
          </cell>
          <cell r="BA1133">
            <v>0</v>
          </cell>
          <cell r="BD1133" t="str">
            <v/>
          </cell>
          <cell r="BE1133">
            <v>1</v>
          </cell>
          <cell r="BG1133" t="str">
            <v>1100</v>
          </cell>
        </row>
        <row r="1134">
          <cell r="B1134" t="str">
            <v>G212170206100400</v>
          </cell>
          <cell r="C1134" t="str">
            <v>21.岐阜県</v>
          </cell>
          <cell r="D1134" t="str">
            <v>217</v>
          </cell>
          <cell r="E1134" t="str">
            <v>飛騨市</v>
          </cell>
          <cell r="F1134" t="str">
            <v>02</v>
          </cell>
          <cell r="G1134" t="str">
            <v>特環 単独</v>
          </cell>
          <cell r="H1134" t="str">
            <v>特定環境保全公共下水道</v>
          </cell>
          <cell r="I1134" t="str">
            <v>単独</v>
          </cell>
          <cell r="J1134" t="str">
            <v>004</v>
          </cell>
          <cell r="K1134" t="str">
            <v>山田川浄化センター</v>
          </cell>
          <cell r="M1134" t="str">
            <v>1</v>
          </cell>
          <cell r="N1134" t="str">
            <v>1</v>
          </cell>
          <cell r="Q1134">
            <v>37316</v>
          </cell>
          <cell r="R1134" t="str">
            <v>平成</v>
          </cell>
          <cell r="S1134">
            <v>14</v>
          </cell>
          <cell r="T1134">
            <v>3</v>
          </cell>
          <cell r="AB1134">
            <v>7600</v>
          </cell>
          <cell r="AC1134" t="str">
            <v>高原川</v>
          </cell>
          <cell r="AD1134" t="str">
            <v>ＡＡ</v>
          </cell>
          <cell r="AE1134" t="str">
            <v>イ</v>
          </cell>
          <cell r="AF1134">
            <v>15</v>
          </cell>
          <cell r="AI1134" t="str">
            <v>山田川</v>
          </cell>
          <cell r="AK1134" t="str">
            <v>高原川</v>
          </cell>
          <cell r="AQ1134" t="str">
            <v/>
          </cell>
          <cell r="AR1134" t="str">
            <v>オキシディションディッチ法</v>
          </cell>
          <cell r="AS1134" t="str">
            <v>2121702004</v>
          </cell>
          <cell r="AT1134" t="str">
            <v/>
          </cell>
          <cell r="AU1134" t="str">
            <v>10</v>
          </cell>
          <cell r="AV1134" t="str">
            <v>10</v>
          </cell>
          <cell r="AW1134">
            <v>0</v>
          </cell>
          <cell r="AX1134">
            <v>0</v>
          </cell>
          <cell r="AY1134">
            <v>0</v>
          </cell>
          <cell r="AZ1134">
            <v>0</v>
          </cell>
          <cell r="BA1134">
            <v>0</v>
          </cell>
          <cell r="BD1134" t="str">
            <v/>
          </cell>
          <cell r="BE1134">
            <v>1</v>
          </cell>
          <cell r="BG1134" t="str">
            <v>1100</v>
          </cell>
        </row>
        <row r="1135">
          <cell r="B1135" t="str">
            <v>G212170206100500</v>
          </cell>
          <cell r="C1135" t="str">
            <v>21.岐阜県</v>
          </cell>
          <cell r="D1135" t="str">
            <v>217</v>
          </cell>
          <cell r="E1135" t="str">
            <v>飛騨市</v>
          </cell>
          <cell r="F1135" t="str">
            <v>02</v>
          </cell>
          <cell r="G1135" t="str">
            <v>特環 単独</v>
          </cell>
          <cell r="H1135" t="str">
            <v>特定環境保全公共下水道</v>
          </cell>
          <cell r="I1135" t="str">
            <v>単独</v>
          </cell>
          <cell r="J1135" t="str">
            <v>005</v>
          </cell>
          <cell r="K1135" t="str">
            <v>五ヶ村浄化センター</v>
          </cell>
          <cell r="M1135" t="str">
            <v>1</v>
          </cell>
          <cell r="N1135" t="str">
            <v>1</v>
          </cell>
          <cell r="Q1135">
            <v>37711</v>
          </cell>
          <cell r="R1135" t="str">
            <v>平成</v>
          </cell>
          <cell r="S1135">
            <v>15</v>
          </cell>
          <cell r="T1135">
            <v>3</v>
          </cell>
          <cell r="AB1135">
            <v>6600</v>
          </cell>
          <cell r="AC1135" t="str">
            <v>宮川</v>
          </cell>
          <cell r="AD1135" t="str">
            <v>Ａ</v>
          </cell>
          <cell r="AE1135" t="str">
            <v>イ</v>
          </cell>
          <cell r="AF1135">
            <v>15</v>
          </cell>
          <cell r="AI1135" t="str">
            <v>殿川</v>
          </cell>
          <cell r="AK1135" t="str">
            <v>宮川</v>
          </cell>
          <cell r="AQ1135" t="str">
            <v/>
          </cell>
          <cell r="AR1135" t="str">
            <v>オキシディションディッチ法</v>
          </cell>
          <cell r="AS1135" t="str">
            <v>2121702005</v>
          </cell>
          <cell r="AT1135" t="str">
            <v/>
          </cell>
          <cell r="AU1135" t="str">
            <v>10</v>
          </cell>
          <cell r="AV1135" t="str">
            <v>10</v>
          </cell>
          <cell r="AW1135">
            <v>0</v>
          </cell>
          <cell r="AX1135">
            <v>0</v>
          </cell>
          <cell r="AY1135">
            <v>0</v>
          </cell>
          <cell r="AZ1135">
            <v>0</v>
          </cell>
          <cell r="BA1135">
            <v>0</v>
          </cell>
          <cell r="BD1135" t="str">
            <v/>
          </cell>
          <cell r="BE1135">
            <v>1</v>
          </cell>
          <cell r="BG1135" t="str">
            <v>1100</v>
          </cell>
        </row>
        <row r="1136">
          <cell r="B1136" t="str">
            <v>G212180206100100</v>
          </cell>
          <cell r="C1136" t="str">
            <v>21.岐阜県</v>
          </cell>
          <cell r="D1136" t="str">
            <v>218</v>
          </cell>
          <cell r="E1136" t="str">
            <v>本巣市</v>
          </cell>
          <cell r="F1136" t="str">
            <v>02</v>
          </cell>
          <cell r="G1136" t="str">
            <v>特環 単独</v>
          </cell>
          <cell r="H1136" t="str">
            <v>特定環境保全公共下水道</v>
          </cell>
          <cell r="I1136" t="str">
            <v>単独</v>
          </cell>
          <cell r="J1136" t="str">
            <v>001</v>
          </cell>
          <cell r="K1136" t="str">
            <v>根尾中央浄化センター</v>
          </cell>
          <cell r="M1136" t="str">
            <v>1</v>
          </cell>
          <cell r="N1136" t="str">
            <v>1</v>
          </cell>
          <cell r="Q1136">
            <v>37347</v>
          </cell>
          <cell r="R1136" t="str">
            <v>平成</v>
          </cell>
          <cell r="S1136">
            <v>14</v>
          </cell>
          <cell r="T1136">
            <v>4</v>
          </cell>
          <cell r="AB1136">
            <v>7254</v>
          </cell>
          <cell r="AC1136" t="str">
            <v>揖斐川</v>
          </cell>
          <cell r="AD1136" t="str">
            <v>ＡＡ</v>
          </cell>
          <cell r="AE1136" t="str">
            <v>イ</v>
          </cell>
          <cell r="AF1136">
            <v>10</v>
          </cell>
          <cell r="AK1136" t="str">
            <v>根尾川</v>
          </cell>
          <cell r="AQ1136" t="str">
            <v/>
          </cell>
          <cell r="AR1136" t="str">
            <v>オキシディションディッチ法</v>
          </cell>
          <cell r="AS1136" t="str">
            <v>2121802001</v>
          </cell>
          <cell r="AT1136" t="str">
            <v/>
          </cell>
          <cell r="AU1136" t="str">
            <v>10</v>
          </cell>
          <cell r="AV1136" t="str">
            <v>10</v>
          </cell>
          <cell r="AW1136">
            <v>0</v>
          </cell>
          <cell r="AX1136">
            <v>0</v>
          </cell>
          <cell r="AY1136">
            <v>0</v>
          </cell>
          <cell r="AZ1136">
            <v>0</v>
          </cell>
          <cell r="BA1136">
            <v>0</v>
          </cell>
          <cell r="BD1136" t="str">
            <v/>
          </cell>
          <cell r="BE1136">
            <v>1</v>
          </cell>
          <cell r="BG1136" t="str">
            <v>1100</v>
          </cell>
        </row>
        <row r="1137">
          <cell r="B1137" t="str">
            <v>G212180206100200</v>
          </cell>
          <cell r="C1137" t="str">
            <v>21.岐阜県</v>
          </cell>
          <cell r="D1137" t="str">
            <v>218</v>
          </cell>
          <cell r="E1137" t="str">
            <v>本巣市</v>
          </cell>
          <cell r="F1137" t="str">
            <v>02</v>
          </cell>
          <cell r="G1137" t="str">
            <v>特環 単独</v>
          </cell>
          <cell r="H1137" t="str">
            <v>特定環境保全公共下水道</v>
          </cell>
          <cell r="I1137" t="str">
            <v>単独</v>
          </cell>
          <cell r="J1137" t="str">
            <v>002</v>
          </cell>
          <cell r="K1137" t="str">
            <v>本巣浄化センター</v>
          </cell>
          <cell r="M1137" t="str">
            <v>1</v>
          </cell>
          <cell r="N1137" t="str">
            <v>1</v>
          </cell>
          <cell r="Q1137">
            <v>38078</v>
          </cell>
          <cell r="R1137" t="str">
            <v>平成</v>
          </cell>
          <cell r="S1137">
            <v>16</v>
          </cell>
          <cell r="T1137">
            <v>4</v>
          </cell>
          <cell r="AB1137">
            <v>20947</v>
          </cell>
          <cell r="AC1137" t="str">
            <v>長良川</v>
          </cell>
          <cell r="AD1137" t="str">
            <v>Ｃ</v>
          </cell>
          <cell r="AE1137" t="str">
            <v>イ</v>
          </cell>
          <cell r="AF1137">
            <v>15</v>
          </cell>
          <cell r="AG1137">
            <v>15</v>
          </cell>
          <cell r="AH1137">
            <v>1</v>
          </cell>
          <cell r="AK1137" t="str">
            <v>板屋川</v>
          </cell>
          <cell r="AQ1137" t="str">
            <v/>
          </cell>
          <cell r="AR1137" t="str">
            <v>オキシディションディッチ法</v>
          </cell>
          <cell r="AS1137" t="str">
            <v>2121802002</v>
          </cell>
          <cell r="AT1137" t="str">
            <v/>
          </cell>
          <cell r="AU1137" t="str">
            <v>10</v>
          </cell>
          <cell r="AV1137" t="str">
            <v>10</v>
          </cell>
          <cell r="AW1137">
            <v>0</v>
          </cell>
          <cell r="AX1137">
            <v>0</v>
          </cell>
          <cell r="AY1137">
            <v>0</v>
          </cell>
          <cell r="AZ1137">
            <v>0</v>
          </cell>
          <cell r="BA1137">
            <v>0</v>
          </cell>
          <cell r="BD1137" t="str">
            <v/>
          </cell>
          <cell r="BE1137">
            <v>1</v>
          </cell>
          <cell r="BG1137" t="str">
            <v>1100</v>
          </cell>
        </row>
        <row r="1138">
          <cell r="B1138" t="str">
            <v>G212190106100100</v>
          </cell>
          <cell r="C1138" t="str">
            <v>21.岐阜県</v>
          </cell>
          <cell r="D1138" t="str">
            <v>219</v>
          </cell>
          <cell r="E1138" t="str">
            <v>郡上市</v>
          </cell>
          <cell r="F1138" t="str">
            <v>01</v>
          </cell>
          <cell r="G1138" t="str">
            <v>公共 単独</v>
          </cell>
          <cell r="H1138" t="str">
            <v>公共下水道</v>
          </cell>
          <cell r="I1138" t="str">
            <v>単独</v>
          </cell>
          <cell r="J1138" t="str">
            <v>001</v>
          </cell>
          <cell r="K1138" t="str">
            <v>郡上八幡都市環境センター</v>
          </cell>
          <cell r="M1138" t="str">
            <v>1</v>
          </cell>
          <cell r="N1138" t="str">
            <v>1</v>
          </cell>
          <cell r="Q1138">
            <v>36982</v>
          </cell>
          <cell r="R1138" t="str">
            <v>平成</v>
          </cell>
          <cell r="S1138">
            <v>13</v>
          </cell>
          <cell r="T1138">
            <v>4</v>
          </cell>
          <cell r="AB1138">
            <v>9600</v>
          </cell>
          <cell r="AC1138" t="str">
            <v>長良川</v>
          </cell>
          <cell r="AD1138" t="str">
            <v>Ａ</v>
          </cell>
          <cell r="AE1138" t="str">
            <v>イ</v>
          </cell>
          <cell r="AF1138">
            <v>15</v>
          </cell>
          <cell r="AK1138" t="str">
            <v>長良川</v>
          </cell>
          <cell r="AL1138" t="str">
            <v>犬啼谷</v>
          </cell>
          <cell r="AO1138" t="str">
            <v>郡上市</v>
          </cell>
          <cell r="AQ1138" t="str">
            <v/>
          </cell>
          <cell r="AR1138" t="str">
            <v>好気性ろ床法</v>
          </cell>
          <cell r="AS1138" t="str">
            <v>2121901001</v>
          </cell>
          <cell r="AT1138" t="str">
            <v/>
          </cell>
          <cell r="AU1138" t="str">
            <v>10</v>
          </cell>
          <cell r="AV1138" t="str">
            <v>10</v>
          </cell>
          <cell r="AW1138">
            <v>0</v>
          </cell>
          <cell r="AX1138">
            <v>0</v>
          </cell>
          <cell r="AY1138">
            <v>0</v>
          </cell>
          <cell r="AZ1138">
            <v>0</v>
          </cell>
          <cell r="BA1138">
            <v>0</v>
          </cell>
          <cell r="BD1138" t="str">
            <v/>
          </cell>
          <cell r="BE1138">
            <v>1</v>
          </cell>
          <cell r="BG1138" t="str">
            <v>1100</v>
          </cell>
        </row>
        <row r="1139">
          <cell r="B1139" t="str">
            <v>G212190206100200</v>
          </cell>
          <cell r="C1139" t="str">
            <v>21.岐阜県</v>
          </cell>
          <cell r="D1139" t="str">
            <v>219</v>
          </cell>
          <cell r="E1139" t="str">
            <v>郡上市</v>
          </cell>
          <cell r="F1139" t="str">
            <v>02</v>
          </cell>
          <cell r="G1139" t="str">
            <v>特環 単独</v>
          </cell>
          <cell r="H1139" t="str">
            <v>特定環境保全公共下水道</v>
          </cell>
          <cell r="I1139" t="str">
            <v>単独</v>
          </cell>
          <cell r="J1139" t="str">
            <v>002</v>
          </cell>
          <cell r="K1139" t="str">
            <v>ひるがの浄化センター</v>
          </cell>
          <cell r="M1139" t="str">
            <v>1</v>
          </cell>
          <cell r="N1139" t="str">
            <v>1</v>
          </cell>
          <cell r="Q1139">
            <v>34029</v>
          </cell>
          <cell r="R1139" t="str">
            <v>平成</v>
          </cell>
          <cell r="S1139">
            <v>5</v>
          </cell>
          <cell r="T1139">
            <v>3</v>
          </cell>
          <cell r="AB1139">
            <v>4200</v>
          </cell>
          <cell r="AC1139" t="str">
            <v>庄川</v>
          </cell>
          <cell r="AD1139" t="str">
            <v>Ａ</v>
          </cell>
          <cell r="AE1139" t="str">
            <v>イ</v>
          </cell>
          <cell r="AF1139">
            <v>20</v>
          </cell>
          <cell r="AI1139" t="str">
            <v>御手洗川</v>
          </cell>
          <cell r="AK1139" t="str">
            <v>庄川</v>
          </cell>
          <cell r="AQ1139" t="str">
            <v/>
          </cell>
          <cell r="AR1139" t="str">
            <v>回分式活性汚泥法</v>
          </cell>
          <cell r="AS1139" t="str">
            <v>2121902002</v>
          </cell>
          <cell r="AT1139" t="str">
            <v/>
          </cell>
          <cell r="AU1139" t="str">
            <v>10</v>
          </cell>
          <cell r="AV1139" t="str">
            <v>10</v>
          </cell>
          <cell r="AW1139">
            <v>0</v>
          </cell>
          <cell r="AX1139">
            <v>0</v>
          </cell>
          <cell r="AY1139">
            <v>0</v>
          </cell>
          <cell r="AZ1139">
            <v>0</v>
          </cell>
          <cell r="BA1139">
            <v>0</v>
          </cell>
          <cell r="BD1139" t="str">
            <v/>
          </cell>
          <cell r="BE1139">
            <v>1</v>
          </cell>
          <cell r="BG1139" t="str">
            <v>1100</v>
          </cell>
        </row>
        <row r="1140">
          <cell r="B1140" t="str">
            <v>G212190206100300</v>
          </cell>
          <cell r="C1140" t="str">
            <v>21.岐阜県</v>
          </cell>
          <cell r="D1140" t="str">
            <v>219</v>
          </cell>
          <cell r="E1140" t="str">
            <v>郡上市</v>
          </cell>
          <cell r="F1140" t="str">
            <v>02</v>
          </cell>
          <cell r="G1140" t="str">
            <v>特環 単独</v>
          </cell>
          <cell r="H1140" t="str">
            <v>特定環境保全公共下水道</v>
          </cell>
          <cell r="I1140" t="str">
            <v>単独</v>
          </cell>
          <cell r="J1140" t="str">
            <v>003</v>
          </cell>
          <cell r="K1140" t="str">
            <v>大和中央浄化センター</v>
          </cell>
          <cell r="M1140" t="str">
            <v>1</v>
          </cell>
          <cell r="N1140" t="str">
            <v>1</v>
          </cell>
          <cell r="Q1140">
            <v>35490</v>
          </cell>
          <cell r="R1140" t="str">
            <v>平成</v>
          </cell>
          <cell r="S1140">
            <v>9</v>
          </cell>
          <cell r="T1140">
            <v>3</v>
          </cell>
          <cell r="AB1140">
            <v>3429</v>
          </cell>
          <cell r="AC1140" t="str">
            <v>長良川</v>
          </cell>
          <cell r="AD1140" t="str">
            <v>ＡＡ</v>
          </cell>
          <cell r="AE1140" t="str">
            <v>イ</v>
          </cell>
          <cell r="AF1140">
            <v>15</v>
          </cell>
          <cell r="AI1140" t="str">
            <v>徳永排水路</v>
          </cell>
          <cell r="AK1140" t="str">
            <v>長良川</v>
          </cell>
          <cell r="AL1140" t="str">
            <v>柿ケ洞取水堰</v>
          </cell>
          <cell r="AM1140">
            <v>6</v>
          </cell>
          <cell r="AO1140" t="str">
            <v>郡上市</v>
          </cell>
          <cell r="AQ1140" t="str">
            <v/>
          </cell>
          <cell r="AR1140" t="str">
            <v>好気性ろ床法</v>
          </cell>
          <cell r="AS1140" t="str">
            <v>2121902003</v>
          </cell>
          <cell r="AT1140" t="str">
            <v/>
          </cell>
          <cell r="AU1140" t="str">
            <v>10</v>
          </cell>
          <cell r="AV1140" t="str">
            <v>10</v>
          </cell>
          <cell r="AW1140">
            <v>0</v>
          </cell>
          <cell r="AX1140">
            <v>0</v>
          </cell>
          <cell r="AY1140">
            <v>0</v>
          </cell>
          <cell r="AZ1140">
            <v>0</v>
          </cell>
          <cell r="BA1140">
            <v>0</v>
          </cell>
          <cell r="BD1140" t="str">
            <v/>
          </cell>
          <cell r="BE1140">
            <v>1</v>
          </cell>
          <cell r="BG1140" t="str">
            <v>1100</v>
          </cell>
        </row>
        <row r="1141">
          <cell r="B1141" t="str">
            <v>G212190206100400</v>
          </cell>
          <cell r="C1141" t="str">
            <v>21.岐阜県</v>
          </cell>
          <cell r="D1141" t="str">
            <v>219</v>
          </cell>
          <cell r="E1141" t="str">
            <v>郡上市</v>
          </cell>
          <cell r="F1141" t="str">
            <v>02</v>
          </cell>
          <cell r="G1141" t="str">
            <v>特環 単独</v>
          </cell>
          <cell r="H1141" t="str">
            <v>特定環境保全公共下水道</v>
          </cell>
          <cell r="I1141" t="str">
            <v>単独</v>
          </cell>
          <cell r="J1141" t="str">
            <v>004</v>
          </cell>
          <cell r="K1141" t="str">
            <v>和良中央浄化センター</v>
          </cell>
          <cell r="M1141" t="str">
            <v>1</v>
          </cell>
          <cell r="N1141" t="str">
            <v>1</v>
          </cell>
          <cell r="Q1141">
            <v>36251</v>
          </cell>
          <cell r="R1141" t="str">
            <v>平成</v>
          </cell>
          <cell r="S1141">
            <v>11</v>
          </cell>
          <cell r="T1141">
            <v>4</v>
          </cell>
          <cell r="AB1141">
            <v>4435</v>
          </cell>
          <cell r="AC1141" t="str">
            <v>飛騨川</v>
          </cell>
          <cell r="AD1141" t="str">
            <v>ＡＡ</v>
          </cell>
          <cell r="AE1141" t="str">
            <v>イ</v>
          </cell>
          <cell r="AF1141">
            <v>20</v>
          </cell>
          <cell r="AK1141" t="str">
            <v>和良川</v>
          </cell>
          <cell r="AL1141" t="str">
            <v>渡取水口</v>
          </cell>
          <cell r="AN1141">
            <v>20</v>
          </cell>
          <cell r="AO1141" t="str">
            <v>下呂市</v>
          </cell>
          <cell r="AQ1141" t="str">
            <v/>
          </cell>
          <cell r="AR1141" t="str">
            <v>好気性ろ床法</v>
          </cell>
          <cell r="AS1141" t="str">
            <v>2121902004</v>
          </cell>
          <cell r="AT1141" t="str">
            <v/>
          </cell>
          <cell r="AU1141" t="str">
            <v>10</v>
          </cell>
          <cell r="AV1141" t="str">
            <v>10</v>
          </cell>
          <cell r="AW1141">
            <v>0</v>
          </cell>
          <cell r="AX1141">
            <v>0</v>
          </cell>
          <cell r="AY1141">
            <v>0</v>
          </cell>
          <cell r="AZ1141">
            <v>0</v>
          </cell>
          <cell r="BA1141">
            <v>0</v>
          </cell>
          <cell r="BD1141" t="str">
            <v/>
          </cell>
          <cell r="BE1141">
            <v>1</v>
          </cell>
          <cell r="BG1141" t="str">
            <v>1100</v>
          </cell>
        </row>
        <row r="1142">
          <cell r="B1142" t="str">
            <v>G212190206100500</v>
          </cell>
          <cell r="C1142" t="str">
            <v>21.岐阜県</v>
          </cell>
          <cell r="D1142" t="str">
            <v>219</v>
          </cell>
          <cell r="E1142" t="str">
            <v>郡上市</v>
          </cell>
          <cell r="F1142" t="str">
            <v>02</v>
          </cell>
          <cell r="G1142" t="str">
            <v>特環 単独</v>
          </cell>
          <cell r="H1142" t="str">
            <v>特定環境保全公共下水道</v>
          </cell>
          <cell r="I1142" t="str">
            <v>単独</v>
          </cell>
          <cell r="J1142" t="str">
            <v>005</v>
          </cell>
          <cell r="K1142" t="str">
            <v>高鷲浄化センター</v>
          </cell>
          <cell r="M1142" t="str">
            <v>1</v>
          </cell>
          <cell r="N1142" t="str">
            <v>1</v>
          </cell>
          <cell r="Q1142">
            <v>36617</v>
          </cell>
          <cell r="R1142" t="str">
            <v>平成</v>
          </cell>
          <cell r="S1142">
            <v>12</v>
          </cell>
          <cell r="T1142">
            <v>4</v>
          </cell>
          <cell r="AB1142">
            <v>4192</v>
          </cell>
          <cell r="AC1142" t="str">
            <v>長良川</v>
          </cell>
          <cell r="AD1142" t="str">
            <v>ＡＡ</v>
          </cell>
          <cell r="AE1142" t="str">
            <v>イ</v>
          </cell>
          <cell r="AF1142">
            <v>20</v>
          </cell>
          <cell r="AK1142" t="str">
            <v>長良川</v>
          </cell>
          <cell r="AL1142" t="str">
            <v>大井取水口</v>
          </cell>
          <cell r="AN1142">
            <v>12.5</v>
          </cell>
          <cell r="AO1142" t="str">
            <v>郡上市</v>
          </cell>
          <cell r="AQ1142" t="str">
            <v/>
          </cell>
          <cell r="AR1142" t="str">
            <v>回分式活性汚泥法</v>
          </cell>
          <cell r="AS1142" t="str">
            <v>2121902005</v>
          </cell>
          <cell r="AT1142" t="str">
            <v/>
          </cell>
          <cell r="AU1142" t="str">
            <v>10</v>
          </cell>
          <cell r="AV1142" t="str">
            <v>10</v>
          </cell>
          <cell r="AW1142">
            <v>0</v>
          </cell>
          <cell r="AX1142">
            <v>0</v>
          </cell>
          <cell r="AY1142">
            <v>0</v>
          </cell>
          <cell r="AZ1142">
            <v>0</v>
          </cell>
          <cell r="BA1142">
            <v>0</v>
          </cell>
          <cell r="BD1142" t="str">
            <v/>
          </cell>
          <cell r="BE1142">
            <v>1</v>
          </cell>
          <cell r="BG1142" t="str">
            <v>1100</v>
          </cell>
        </row>
        <row r="1143">
          <cell r="B1143" t="str">
            <v>G212190206100600</v>
          </cell>
          <cell r="C1143" t="str">
            <v>21.岐阜県</v>
          </cell>
          <cell r="D1143" t="str">
            <v>219</v>
          </cell>
          <cell r="E1143" t="str">
            <v>郡上市</v>
          </cell>
          <cell r="F1143" t="str">
            <v>02</v>
          </cell>
          <cell r="G1143" t="str">
            <v>特環 単独</v>
          </cell>
          <cell r="H1143" t="str">
            <v>特定環境保全公共下水道</v>
          </cell>
          <cell r="I1143" t="str">
            <v>単独</v>
          </cell>
          <cell r="J1143" t="str">
            <v>006</v>
          </cell>
          <cell r="K1143" t="str">
            <v>白鳥長良川浄化センター</v>
          </cell>
          <cell r="M1143" t="str">
            <v>1</v>
          </cell>
          <cell r="N1143" t="str">
            <v>1</v>
          </cell>
          <cell r="Q1143">
            <v>36982</v>
          </cell>
          <cell r="R1143" t="str">
            <v>平成</v>
          </cell>
          <cell r="S1143">
            <v>13</v>
          </cell>
          <cell r="T1143">
            <v>4</v>
          </cell>
          <cell r="AB1143">
            <v>8762</v>
          </cell>
          <cell r="AC1143" t="str">
            <v>長良川</v>
          </cell>
          <cell r="AD1143" t="str">
            <v>ＡＡ</v>
          </cell>
          <cell r="AE1143" t="str">
            <v>イ</v>
          </cell>
          <cell r="AF1143">
            <v>15</v>
          </cell>
          <cell r="AK1143" t="str">
            <v>長良川</v>
          </cell>
          <cell r="AL1143" t="str">
            <v>大井取水口</v>
          </cell>
          <cell r="AM1143">
            <v>6</v>
          </cell>
          <cell r="AO1143" t="str">
            <v>郡上市</v>
          </cell>
          <cell r="AQ1143" t="str">
            <v/>
          </cell>
          <cell r="AR1143" t="str">
            <v>オキシディションディッチ法</v>
          </cell>
          <cell r="AS1143" t="str">
            <v>2121902006</v>
          </cell>
          <cell r="AT1143" t="str">
            <v/>
          </cell>
          <cell r="AU1143" t="str">
            <v>10</v>
          </cell>
          <cell r="AV1143" t="str">
            <v>10</v>
          </cell>
          <cell r="AW1143">
            <v>0</v>
          </cell>
          <cell r="AX1143">
            <v>0</v>
          </cell>
          <cell r="AY1143">
            <v>0</v>
          </cell>
          <cell r="AZ1143">
            <v>0</v>
          </cell>
          <cell r="BA1143">
            <v>0</v>
          </cell>
          <cell r="BD1143" t="str">
            <v/>
          </cell>
          <cell r="BE1143">
            <v>1</v>
          </cell>
          <cell r="BG1143" t="str">
            <v>1100</v>
          </cell>
        </row>
        <row r="1144">
          <cell r="B1144" t="str">
            <v>G212190206100700</v>
          </cell>
          <cell r="C1144" t="str">
            <v>21.岐阜県</v>
          </cell>
          <cell r="D1144" t="str">
            <v>219</v>
          </cell>
          <cell r="E1144" t="str">
            <v>郡上市</v>
          </cell>
          <cell r="F1144" t="str">
            <v>02</v>
          </cell>
          <cell r="G1144" t="str">
            <v>特環 単独</v>
          </cell>
          <cell r="H1144" t="str">
            <v>特定環境保全公共下水道</v>
          </cell>
          <cell r="I1144" t="str">
            <v>単独</v>
          </cell>
          <cell r="J1144" t="str">
            <v>007</v>
          </cell>
          <cell r="K1144" t="str">
            <v>美並中央クリーンセンター</v>
          </cell>
          <cell r="M1144" t="str">
            <v>1</v>
          </cell>
          <cell r="N1144" t="str">
            <v>1</v>
          </cell>
          <cell r="Q1144">
            <v>38078</v>
          </cell>
          <cell r="R1144" t="str">
            <v>平成</v>
          </cell>
          <cell r="S1144">
            <v>16</v>
          </cell>
          <cell r="T1144">
            <v>4</v>
          </cell>
          <cell r="AB1144">
            <v>7864</v>
          </cell>
          <cell r="AC1144" t="str">
            <v>長良川</v>
          </cell>
          <cell r="AD1144" t="str">
            <v>Ａ</v>
          </cell>
          <cell r="AE1144" t="str">
            <v>イ</v>
          </cell>
          <cell r="AF1144">
            <v>15</v>
          </cell>
          <cell r="AG1144">
            <v>15</v>
          </cell>
          <cell r="AH1144">
            <v>1.5</v>
          </cell>
          <cell r="AK1144" t="str">
            <v>長良川</v>
          </cell>
          <cell r="AL1144" t="str">
            <v>川干谷川</v>
          </cell>
          <cell r="AM1144">
            <v>5</v>
          </cell>
          <cell r="AO1144" t="str">
            <v>郡上市</v>
          </cell>
          <cell r="AQ1144" t="str">
            <v/>
          </cell>
          <cell r="AR1144" t="str">
            <v>オキシディションディッチ法</v>
          </cell>
          <cell r="AS1144" t="str">
            <v>2121902007</v>
          </cell>
          <cell r="AT1144" t="str">
            <v/>
          </cell>
          <cell r="AU1144" t="str">
            <v>10</v>
          </cell>
          <cell r="AV1144" t="str">
            <v>10</v>
          </cell>
          <cell r="AW1144">
            <v>0</v>
          </cell>
          <cell r="AX1144">
            <v>0</v>
          </cell>
          <cell r="AY1144">
            <v>0</v>
          </cell>
          <cell r="AZ1144">
            <v>0</v>
          </cell>
          <cell r="BA1144">
            <v>0</v>
          </cell>
          <cell r="BD1144" t="str">
            <v/>
          </cell>
          <cell r="BE1144">
            <v>1</v>
          </cell>
          <cell r="BG1144" t="str">
            <v>1100</v>
          </cell>
        </row>
        <row r="1145">
          <cell r="B1145" t="str">
            <v>G212190206100800</v>
          </cell>
          <cell r="C1145" t="str">
            <v>21.岐阜県</v>
          </cell>
          <cell r="D1145" t="str">
            <v>219</v>
          </cell>
          <cell r="E1145" t="str">
            <v>郡上市</v>
          </cell>
          <cell r="F1145" t="str">
            <v>02</v>
          </cell>
          <cell r="G1145" t="str">
            <v>特環 単独</v>
          </cell>
          <cell r="H1145" t="str">
            <v>特定環境保全公共下水道</v>
          </cell>
          <cell r="I1145" t="str">
            <v>単独</v>
          </cell>
          <cell r="J1145" t="str">
            <v>008</v>
          </cell>
          <cell r="K1145" t="str">
            <v>西洞浄化センター</v>
          </cell>
          <cell r="M1145" t="str">
            <v>1</v>
          </cell>
          <cell r="N1145" t="str">
            <v>1</v>
          </cell>
          <cell r="Q1145">
            <v>38443</v>
          </cell>
          <cell r="R1145" t="str">
            <v>平成</v>
          </cell>
          <cell r="S1145">
            <v>17</v>
          </cell>
          <cell r="T1145">
            <v>4</v>
          </cell>
          <cell r="AB1145">
            <v>2513</v>
          </cell>
          <cell r="AC1145" t="str">
            <v>長良川</v>
          </cell>
          <cell r="AD1145" t="str">
            <v>ＡＡ</v>
          </cell>
          <cell r="AE1145" t="str">
            <v>イ</v>
          </cell>
          <cell r="AF1145">
            <v>6</v>
          </cell>
          <cell r="AK1145" t="str">
            <v>長良川</v>
          </cell>
          <cell r="AL1145" t="str">
            <v>大井取水口</v>
          </cell>
          <cell r="AN1145">
            <v>22</v>
          </cell>
          <cell r="AO1145" t="str">
            <v>郡上市</v>
          </cell>
          <cell r="AQ1145" t="str">
            <v/>
          </cell>
          <cell r="AR1145" t="str">
            <v>回分式活性汚泥法</v>
          </cell>
          <cell r="AS1145" t="str">
            <v>2121902008</v>
          </cell>
          <cell r="AT1145" t="str">
            <v/>
          </cell>
          <cell r="AU1145" t="str">
            <v>10</v>
          </cell>
          <cell r="AV1145" t="str">
            <v>10</v>
          </cell>
          <cell r="AW1145">
            <v>0</v>
          </cell>
          <cell r="AX1145">
            <v>0</v>
          </cell>
          <cell r="AY1145">
            <v>0</v>
          </cell>
          <cell r="AZ1145">
            <v>0</v>
          </cell>
          <cell r="BA1145">
            <v>0</v>
          </cell>
          <cell r="BD1145" t="str">
            <v/>
          </cell>
          <cell r="BE1145">
            <v>1</v>
          </cell>
          <cell r="BG1145" t="str">
            <v>1100</v>
          </cell>
        </row>
        <row r="1146">
          <cell r="B1146" t="str">
            <v>G212200106100100</v>
          </cell>
          <cell r="C1146" t="str">
            <v>21.岐阜県</v>
          </cell>
          <cell r="D1146" t="str">
            <v>220</v>
          </cell>
          <cell r="E1146" t="str">
            <v>下呂市</v>
          </cell>
          <cell r="F1146" t="str">
            <v>01</v>
          </cell>
          <cell r="G1146" t="str">
            <v>公共 単独</v>
          </cell>
          <cell r="H1146" t="str">
            <v>公共下水道</v>
          </cell>
          <cell r="I1146" t="str">
            <v>単独</v>
          </cell>
          <cell r="J1146" t="str">
            <v>001</v>
          </cell>
          <cell r="K1146" t="str">
            <v>幸田浄化センター</v>
          </cell>
          <cell r="M1146" t="str">
            <v>1</v>
          </cell>
          <cell r="N1146" t="str">
            <v>1</v>
          </cell>
          <cell r="Q1146">
            <v>32599</v>
          </cell>
          <cell r="R1146" t="str">
            <v>平成</v>
          </cell>
          <cell r="S1146">
            <v>1</v>
          </cell>
          <cell r="T1146">
            <v>4</v>
          </cell>
          <cell r="AB1146">
            <v>2800</v>
          </cell>
          <cell r="AC1146" t="str">
            <v>木曽川流域</v>
          </cell>
          <cell r="AD1146" t="str">
            <v>ＡＡ</v>
          </cell>
          <cell r="AE1146" t="str">
            <v>イ</v>
          </cell>
          <cell r="AF1146">
            <v>15</v>
          </cell>
          <cell r="AG1146">
            <v>20</v>
          </cell>
          <cell r="AH1146">
            <v>2.5</v>
          </cell>
          <cell r="AK1146" t="str">
            <v>飛騨川</v>
          </cell>
          <cell r="AL1146" t="str">
            <v>下呂市浄水場</v>
          </cell>
          <cell r="AM1146">
            <v>4</v>
          </cell>
          <cell r="AO1146" t="str">
            <v>下呂市</v>
          </cell>
          <cell r="AQ1146" t="str">
            <v/>
          </cell>
          <cell r="AR1146" t="str">
            <v>回分式活性汚泥法</v>
          </cell>
          <cell r="AS1146" t="str">
            <v>2122001001</v>
          </cell>
          <cell r="AT1146" t="str">
            <v/>
          </cell>
          <cell r="AU1146" t="str">
            <v>10</v>
          </cell>
          <cell r="AV1146" t="str">
            <v>10</v>
          </cell>
          <cell r="AW1146">
            <v>0</v>
          </cell>
          <cell r="AX1146">
            <v>0</v>
          </cell>
          <cell r="AY1146">
            <v>0</v>
          </cell>
          <cell r="AZ1146">
            <v>0</v>
          </cell>
          <cell r="BA1146">
            <v>0</v>
          </cell>
          <cell r="BD1146" t="str">
            <v/>
          </cell>
          <cell r="BE1146">
            <v>1</v>
          </cell>
          <cell r="BG1146" t="str">
            <v>1100</v>
          </cell>
        </row>
        <row r="1147">
          <cell r="B1147" t="str">
            <v>G212200106100200</v>
          </cell>
          <cell r="C1147" t="str">
            <v>21.岐阜県</v>
          </cell>
          <cell r="D1147" t="str">
            <v>220</v>
          </cell>
          <cell r="E1147" t="str">
            <v>下呂市</v>
          </cell>
          <cell r="F1147" t="str">
            <v>01</v>
          </cell>
          <cell r="G1147" t="str">
            <v>公共 単独</v>
          </cell>
          <cell r="H1147" t="str">
            <v>公共下水道</v>
          </cell>
          <cell r="I1147" t="str">
            <v>単独</v>
          </cell>
          <cell r="J1147" t="str">
            <v>002</v>
          </cell>
          <cell r="K1147" t="str">
            <v>湯之島浄化センター</v>
          </cell>
          <cell r="M1147" t="str">
            <v>1</v>
          </cell>
          <cell r="N1147" t="str">
            <v>1</v>
          </cell>
          <cell r="Q1147">
            <v>35490</v>
          </cell>
          <cell r="R1147" t="str">
            <v>平成</v>
          </cell>
          <cell r="S1147">
            <v>9</v>
          </cell>
          <cell r="T1147">
            <v>3</v>
          </cell>
          <cell r="AB1147">
            <v>7900</v>
          </cell>
          <cell r="AC1147" t="str">
            <v>木曽川水域</v>
          </cell>
          <cell r="AD1147" t="str">
            <v>ＡＡ</v>
          </cell>
          <cell r="AE1147" t="str">
            <v>イ</v>
          </cell>
          <cell r="AF1147">
            <v>15</v>
          </cell>
          <cell r="AG1147">
            <v>20</v>
          </cell>
          <cell r="AH1147">
            <v>2.5</v>
          </cell>
          <cell r="AK1147" t="str">
            <v>飛騨川</v>
          </cell>
          <cell r="AL1147" t="str">
            <v>下呂市浄水場</v>
          </cell>
          <cell r="AM1147">
            <v>3</v>
          </cell>
          <cell r="AO1147" t="str">
            <v>下呂市</v>
          </cell>
          <cell r="AQ1147" t="str">
            <v/>
          </cell>
          <cell r="AR1147" t="str">
            <v>回分式活性汚泥法</v>
          </cell>
          <cell r="AS1147" t="str">
            <v>2122001002</v>
          </cell>
          <cell r="AT1147" t="str">
            <v/>
          </cell>
          <cell r="AU1147" t="str">
            <v>10</v>
          </cell>
          <cell r="AV1147" t="str">
            <v>10</v>
          </cell>
          <cell r="AW1147">
            <v>0</v>
          </cell>
          <cell r="AX1147">
            <v>0</v>
          </cell>
          <cell r="AY1147">
            <v>0</v>
          </cell>
          <cell r="AZ1147">
            <v>0</v>
          </cell>
          <cell r="BA1147">
            <v>0</v>
          </cell>
          <cell r="BD1147" t="str">
            <v/>
          </cell>
          <cell r="BE1147">
            <v>1</v>
          </cell>
          <cell r="BG1147" t="str">
            <v>1100</v>
          </cell>
        </row>
        <row r="1148">
          <cell r="B1148" t="str">
            <v>G212200106100300</v>
          </cell>
          <cell r="C1148" t="str">
            <v>21.岐阜県</v>
          </cell>
          <cell r="D1148" t="str">
            <v>220</v>
          </cell>
          <cell r="E1148" t="str">
            <v>下呂市</v>
          </cell>
          <cell r="F1148" t="str">
            <v>01</v>
          </cell>
          <cell r="G1148" t="str">
            <v>公共 単独</v>
          </cell>
          <cell r="H1148" t="str">
            <v>公共下水道</v>
          </cell>
          <cell r="I1148" t="str">
            <v>単独</v>
          </cell>
          <cell r="J1148" t="str">
            <v>003</v>
          </cell>
          <cell r="K1148" t="str">
            <v>下呂南部浄化センター</v>
          </cell>
          <cell r="M1148" t="str">
            <v>1</v>
          </cell>
          <cell r="N1148" t="str">
            <v>1</v>
          </cell>
          <cell r="Q1148">
            <v>38443</v>
          </cell>
          <cell r="R1148" t="str">
            <v>平成</v>
          </cell>
          <cell r="S1148">
            <v>17</v>
          </cell>
          <cell r="T1148">
            <v>4</v>
          </cell>
          <cell r="AB1148">
            <v>11700</v>
          </cell>
          <cell r="AC1148" t="str">
            <v>木曽川水域</v>
          </cell>
          <cell r="AD1148" t="str">
            <v>Ａ</v>
          </cell>
          <cell r="AE1148" t="str">
            <v>イ</v>
          </cell>
          <cell r="AF1148">
            <v>15</v>
          </cell>
          <cell r="AG1148">
            <v>20</v>
          </cell>
          <cell r="AH1148">
            <v>2.5</v>
          </cell>
          <cell r="AI1148" t="str">
            <v>茂谷</v>
          </cell>
          <cell r="AK1148" t="str">
            <v>飛騨川</v>
          </cell>
          <cell r="AL1148" t="str">
            <v>下呂市浄水場</v>
          </cell>
          <cell r="AM1148">
            <v>6</v>
          </cell>
          <cell r="AO1148" t="str">
            <v>下呂市</v>
          </cell>
          <cell r="AQ1148" t="str">
            <v/>
          </cell>
          <cell r="AR1148" t="str">
            <v>回分式活性汚泥法</v>
          </cell>
          <cell r="AS1148" t="str">
            <v>2122001003</v>
          </cell>
          <cell r="AT1148" t="str">
            <v/>
          </cell>
          <cell r="AU1148" t="str">
            <v>10</v>
          </cell>
          <cell r="AV1148" t="str">
            <v>10</v>
          </cell>
          <cell r="AW1148">
            <v>0</v>
          </cell>
          <cell r="AX1148">
            <v>0</v>
          </cell>
          <cell r="AY1148">
            <v>0</v>
          </cell>
          <cell r="AZ1148">
            <v>0</v>
          </cell>
          <cell r="BA1148">
            <v>0</v>
          </cell>
          <cell r="BD1148" t="str">
            <v/>
          </cell>
          <cell r="BE1148">
            <v>1</v>
          </cell>
          <cell r="BG1148" t="str">
            <v>1100</v>
          </cell>
        </row>
        <row r="1149">
          <cell r="B1149" t="str">
            <v>G212200206100400</v>
          </cell>
          <cell r="C1149" t="str">
            <v>21.岐阜県</v>
          </cell>
          <cell r="D1149" t="str">
            <v>220</v>
          </cell>
          <cell r="E1149" t="str">
            <v>下呂市</v>
          </cell>
          <cell r="F1149" t="str">
            <v>02</v>
          </cell>
          <cell r="G1149" t="str">
            <v>特環 単独</v>
          </cell>
          <cell r="H1149" t="str">
            <v>特定環境保全公共下水道</v>
          </cell>
          <cell r="I1149" t="str">
            <v>単独</v>
          </cell>
          <cell r="J1149" t="str">
            <v>004</v>
          </cell>
          <cell r="K1149" t="str">
            <v>上呂水処理センター</v>
          </cell>
          <cell r="M1149" t="str">
            <v>1</v>
          </cell>
          <cell r="N1149" t="str">
            <v>1</v>
          </cell>
          <cell r="Q1149">
            <v>36251</v>
          </cell>
          <cell r="R1149" t="str">
            <v>平成</v>
          </cell>
          <cell r="S1149">
            <v>11</v>
          </cell>
          <cell r="T1149">
            <v>4</v>
          </cell>
          <cell r="AB1149">
            <v>10000</v>
          </cell>
          <cell r="AC1149" t="str">
            <v>木曽川流域</v>
          </cell>
          <cell r="AD1149" t="str">
            <v>ＡＡ</v>
          </cell>
          <cell r="AE1149" t="str">
            <v>イ</v>
          </cell>
          <cell r="AF1149">
            <v>20</v>
          </cell>
          <cell r="AI1149" t="str">
            <v>尾張洞谷</v>
          </cell>
          <cell r="AK1149" t="str">
            <v>飛騨川</v>
          </cell>
          <cell r="AL1149" t="str">
            <v>下呂市浄水場</v>
          </cell>
          <cell r="AN1149">
            <v>10</v>
          </cell>
          <cell r="AO1149" t="str">
            <v>下呂市</v>
          </cell>
          <cell r="AQ1149" t="str">
            <v/>
          </cell>
          <cell r="AR1149" t="str">
            <v>オキシディションディッチ法</v>
          </cell>
          <cell r="AS1149" t="str">
            <v>2122002004</v>
          </cell>
          <cell r="AT1149" t="str">
            <v/>
          </cell>
          <cell r="AU1149" t="str">
            <v>10</v>
          </cell>
          <cell r="AV1149" t="str">
            <v>10</v>
          </cell>
          <cell r="AW1149">
            <v>0</v>
          </cell>
          <cell r="AX1149">
            <v>0</v>
          </cell>
          <cell r="AY1149">
            <v>0</v>
          </cell>
          <cell r="AZ1149">
            <v>0</v>
          </cell>
          <cell r="BA1149">
            <v>0</v>
          </cell>
          <cell r="BD1149" t="str">
            <v/>
          </cell>
          <cell r="BE1149">
            <v>1</v>
          </cell>
          <cell r="BG1149" t="str">
            <v>1100</v>
          </cell>
        </row>
        <row r="1150">
          <cell r="B1150" t="str">
            <v>G212200206100500</v>
          </cell>
          <cell r="C1150" t="str">
            <v>21.岐阜県</v>
          </cell>
          <cell r="D1150" t="str">
            <v>220</v>
          </cell>
          <cell r="E1150" t="str">
            <v>下呂市</v>
          </cell>
          <cell r="F1150" t="str">
            <v>02</v>
          </cell>
          <cell r="G1150" t="str">
            <v>特環 単独</v>
          </cell>
          <cell r="H1150" t="str">
            <v>特定環境保全公共下水道</v>
          </cell>
          <cell r="I1150" t="str">
            <v>単独</v>
          </cell>
          <cell r="J1150" t="str">
            <v>005</v>
          </cell>
          <cell r="K1150" t="str">
            <v>金山浄化センター</v>
          </cell>
          <cell r="M1150" t="str">
            <v>1</v>
          </cell>
          <cell r="N1150" t="str">
            <v>1</v>
          </cell>
          <cell r="Q1150">
            <v>36251</v>
          </cell>
          <cell r="R1150" t="str">
            <v>平成</v>
          </cell>
          <cell r="S1150">
            <v>11</v>
          </cell>
          <cell r="T1150">
            <v>4</v>
          </cell>
          <cell r="AB1150">
            <v>5400</v>
          </cell>
          <cell r="AC1150" t="str">
            <v>木曽川水域</v>
          </cell>
          <cell r="AD1150" t="str">
            <v>Ａ</v>
          </cell>
          <cell r="AE1150" t="str">
            <v>イ</v>
          </cell>
          <cell r="AF1150">
            <v>20</v>
          </cell>
          <cell r="AK1150" t="str">
            <v>菅田川</v>
          </cell>
          <cell r="AL1150" t="str">
            <v>金山浄水場</v>
          </cell>
          <cell r="AM1150">
            <v>3</v>
          </cell>
          <cell r="AO1150" t="str">
            <v>下呂市</v>
          </cell>
          <cell r="AQ1150" t="str">
            <v/>
          </cell>
          <cell r="AR1150" t="str">
            <v>好気性ろ床法</v>
          </cell>
          <cell r="AS1150" t="str">
            <v>2122002005</v>
          </cell>
          <cell r="AT1150" t="str">
            <v/>
          </cell>
          <cell r="AU1150" t="str">
            <v>10</v>
          </cell>
          <cell r="AV1150" t="str">
            <v>10</v>
          </cell>
          <cell r="AW1150">
            <v>0</v>
          </cell>
          <cell r="AX1150">
            <v>0</v>
          </cell>
          <cell r="AY1150">
            <v>0</v>
          </cell>
          <cell r="AZ1150">
            <v>0</v>
          </cell>
          <cell r="BA1150">
            <v>0</v>
          </cell>
          <cell r="BD1150" t="str">
            <v/>
          </cell>
          <cell r="BE1150">
            <v>1</v>
          </cell>
          <cell r="BG1150" t="str">
            <v>1100</v>
          </cell>
        </row>
        <row r="1151">
          <cell r="B1151" t="str">
            <v>G212200206100600</v>
          </cell>
          <cell r="C1151" t="str">
            <v>21.岐阜県</v>
          </cell>
          <cell r="D1151" t="str">
            <v>220</v>
          </cell>
          <cell r="E1151" t="str">
            <v>下呂市</v>
          </cell>
          <cell r="F1151" t="str">
            <v>02</v>
          </cell>
          <cell r="G1151" t="str">
            <v>特環 単独</v>
          </cell>
          <cell r="H1151" t="str">
            <v>特定環境保全公共下水道</v>
          </cell>
          <cell r="I1151" t="str">
            <v>単独</v>
          </cell>
          <cell r="J1151" t="str">
            <v>006</v>
          </cell>
          <cell r="K1151" t="str">
            <v>竹原浄化センター</v>
          </cell>
          <cell r="M1151" t="str">
            <v>1</v>
          </cell>
          <cell r="N1151" t="str">
            <v>1</v>
          </cell>
          <cell r="Q1151">
            <v>36951</v>
          </cell>
          <cell r="R1151" t="str">
            <v>平成</v>
          </cell>
          <cell r="S1151">
            <v>13</v>
          </cell>
          <cell r="T1151">
            <v>3</v>
          </cell>
          <cell r="AB1151">
            <v>5200</v>
          </cell>
          <cell r="AC1151" t="str">
            <v>木曽川水域</v>
          </cell>
          <cell r="AD1151" t="str">
            <v>Ａ</v>
          </cell>
          <cell r="AE1151" t="str">
            <v>イ</v>
          </cell>
          <cell r="AF1151">
            <v>15</v>
          </cell>
          <cell r="AG1151">
            <v>20</v>
          </cell>
          <cell r="AH1151">
            <v>2.5</v>
          </cell>
          <cell r="AK1151" t="str">
            <v>竹原川</v>
          </cell>
          <cell r="AL1151" t="str">
            <v>下呂市浄水場</v>
          </cell>
          <cell r="AM1151">
            <v>5</v>
          </cell>
          <cell r="AO1151" t="str">
            <v>下呂市</v>
          </cell>
          <cell r="AQ1151" t="str">
            <v/>
          </cell>
          <cell r="AR1151" t="str">
            <v>嫌気好気活性汚泥法</v>
          </cell>
          <cell r="AS1151" t="str">
            <v>2122002006</v>
          </cell>
          <cell r="AT1151" t="str">
            <v/>
          </cell>
          <cell r="AU1151" t="str">
            <v>10</v>
          </cell>
          <cell r="AV1151" t="str">
            <v>10</v>
          </cell>
          <cell r="AW1151">
            <v>0</v>
          </cell>
          <cell r="AX1151">
            <v>0</v>
          </cell>
          <cell r="AY1151">
            <v>0</v>
          </cell>
          <cell r="AZ1151">
            <v>0</v>
          </cell>
          <cell r="BA1151">
            <v>0</v>
          </cell>
          <cell r="BD1151" t="str">
            <v/>
          </cell>
          <cell r="BE1151">
            <v>1</v>
          </cell>
          <cell r="BG1151" t="str">
            <v>1100</v>
          </cell>
        </row>
        <row r="1152">
          <cell r="B1152" t="str">
            <v>G212200206100700</v>
          </cell>
          <cell r="C1152" t="str">
            <v>21.岐阜県</v>
          </cell>
          <cell r="D1152" t="str">
            <v>220</v>
          </cell>
          <cell r="E1152" t="str">
            <v>下呂市</v>
          </cell>
          <cell r="F1152" t="str">
            <v>02</v>
          </cell>
          <cell r="G1152" t="str">
            <v>特環 単独</v>
          </cell>
          <cell r="H1152" t="str">
            <v>特定環境保全公共下水道</v>
          </cell>
          <cell r="I1152" t="str">
            <v>単独</v>
          </cell>
          <cell r="J1152" t="str">
            <v>007</v>
          </cell>
          <cell r="K1152" t="str">
            <v>小坂浄化センター</v>
          </cell>
          <cell r="M1152" t="str">
            <v>1</v>
          </cell>
          <cell r="N1152" t="str">
            <v>1</v>
          </cell>
          <cell r="Q1152">
            <v>38078</v>
          </cell>
          <cell r="R1152" t="str">
            <v>平成</v>
          </cell>
          <cell r="S1152">
            <v>16</v>
          </cell>
          <cell r="T1152">
            <v>4</v>
          </cell>
          <cell r="AB1152">
            <v>5300</v>
          </cell>
          <cell r="AC1152" t="str">
            <v>木曽川水域</v>
          </cell>
          <cell r="AD1152" t="str">
            <v>ＡＡ</v>
          </cell>
          <cell r="AE1152" t="str">
            <v>イ</v>
          </cell>
          <cell r="AF1152">
            <v>15</v>
          </cell>
          <cell r="AG1152">
            <v>15</v>
          </cell>
          <cell r="AH1152">
            <v>1</v>
          </cell>
          <cell r="AK1152" t="str">
            <v>飛騨川</v>
          </cell>
          <cell r="AL1152" t="str">
            <v>下呂市浄水場</v>
          </cell>
          <cell r="AN1152">
            <v>18</v>
          </cell>
          <cell r="AO1152" t="str">
            <v>下呂市</v>
          </cell>
          <cell r="AQ1152" t="str">
            <v/>
          </cell>
          <cell r="AR1152" t="str">
            <v>オキシディションディッチ法</v>
          </cell>
          <cell r="AS1152" t="str">
            <v>2122002007</v>
          </cell>
          <cell r="AT1152" t="str">
            <v/>
          </cell>
          <cell r="AU1152" t="str">
            <v>10</v>
          </cell>
          <cell r="AV1152" t="str">
            <v>10</v>
          </cell>
          <cell r="AW1152">
            <v>0</v>
          </cell>
          <cell r="AX1152">
            <v>0</v>
          </cell>
          <cell r="AY1152">
            <v>0</v>
          </cell>
          <cell r="AZ1152">
            <v>0</v>
          </cell>
          <cell r="BA1152">
            <v>0</v>
          </cell>
          <cell r="BD1152" t="str">
            <v/>
          </cell>
          <cell r="BE1152">
            <v>1</v>
          </cell>
          <cell r="BG1152" t="str">
            <v>1100</v>
          </cell>
        </row>
        <row r="1153">
          <cell r="B1153" t="str">
            <v>G212200206100800</v>
          </cell>
          <cell r="C1153" t="str">
            <v>21.岐阜県</v>
          </cell>
          <cell r="D1153" t="str">
            <v>220</v>
          </cell>
          <cell r="E1153" t="str">
            <v>下呂市</v>
          </cell>
          <cell r="F1153" t="str">
            <v>02</v>
          </cell>
          <cell r="G1153" t="str">
            <v>特環 単独</v>
          </cell>
          <cell r="H1153" t="str">
            <v>特定環境保全公共下水道</v>
          </cell>
          <cell r="I1153" t="str">
            <v>単独</v>
          </cell>
          <cell r="J1153" t="str">
            <v>008</v>
          </cell>
          <cell r="K1153" t="str">
            <v>萩原水処理センター</v>
          </cell>
          <cell r="M1153" t="str">
            <v>1</v>
          </cell>
          <cell r="N1153" t="str">
            <v>1</v>
          </cell>
          <cell r="Q1153">
            <v>38808</v>
          </cell>
          <cell r="R1153" t="str">
            <v>平成</v>
          </cell>
          <cell r="S1153">
            <v>18</v>
          </cell>
          <cell r="T1153">
            <v>4</v>
          </cell>
          <cell r="AB1153">
            <v>14100</v>
          </cell>
          <cell r="AC1153" t="str">
            <v>木曽川水域</v>
          </cell>
          <cell r="AD1153" t="str">
            <v>ＡＡ</v>
          </cell>
          <cell r="AE1153" t="str">
            <v>イ</v>
          </cell>
          <cell r="AF1153">
            <v>15</v>
          </cell>
          <cell r="AG1153">
            <v>20</v>
          </cell>
          <cell r="AH1153">
            <v>2.5</v>
          </cell>
          <cell r="AK1153" t="str">
            <v>飛騨川</v>
          </cell>
          <cell r="AL1153" t="str">
            <v>下呂市浄水場</v>
          </cell>
          <cell r="AN1153">
            <v>3</v>
          </cell>
          <cell r="AO1153" t="str">
            <v>下呂市</v>
          </cell>
          <cell r="AQ1153" t="str">
            <v/>
          </cell>
          <cell r="AR1153" t="str">
            <v>オキシディションディッチ法</v>
          </cell>
          <cell r="AS1153" t="str">
            <v>2122002008</v>
          </cell>
          <cell r="AT1153" t="str">
            <v/>
          </cell>
          <cell r="AU1153" t="str">
            <v>10</v>
          </cell>
          <cell r="AV1153" t="str">
            <v>10</v>
          </cell>
          <cell r="AW1153">
            <v>0</v>
          </cell>
          <cell r="AX1153">
            <v>0</v>
          </cell>
          <cell r="AY1153">
            <v>0</v>
          </cell>
          <cell r="AZ1153">
            <v>0</v>
          </cell>
          <cell r="BA1153">
            <v>0</v>
          </cell>
          <cell r="BD1153" t="str">
            <v/>
          </cell>
          <cell r="BE1153">
            <v>1</v>
          </cell>
          <cell r="BG1153" t="str">
            <v>1100</v>
          </cell>
        </row>
        <row r="1154">
          <cell r="B1154" t="str">
            <v>G212210106100100</v>
          </cell>
          <cell r="C1154" t="str">
            <v>21.岐阜県</v>
          </cell>
          <cell r="D1154" t="str">
            <v>221</v>
          </cell>
          <cell r="E1154" t="str">
            <v>海津市</v>
          </cell>
          <cell r="F1154" t="str">
            <v>01</v>
          </cell>
          <cell r="G1154" t="str">
            <v>公共 単独</v>
          </cell>
          <cell r="H1154" t="str">
            <v>公共下水道</v>
          </cell>
          <cell r="I1154" t="str">
            <v>単独</v>
          </cell>
          <cell r="J1154" t="str">
            <v>001</v>
          </cell>
          <cell r="K1154" t="str">
            <v>北部浄化センター</v>
          </cell>
          <cell r="M1154" t="str">
            <v>1</v>
          </cell>
          <cell r="N1154" t="str">
            <v>1</v>
          </cell>
          <cell r="Q1154">
            <v>34608</v>
          </cell>
          <cell r="R1154" t="str">
            <v>平成</v>
          </cell>
          <cell r="S1154">
            <v>6</v>
          </cell>
          <cell r="T1154">
            <v>10</v>
          </cell>
          <cell r="AB1154">
            <v>6400</v>
          </cell>
          <cell r="AF1154">
            <v>15</v>
          </cell>
          <cell r="AG1154">
            <v>15</v>
          </cell>
          <cell r="AH1154">
            <v>1.5</v>
          </cell>
          <cell r="AK1154" t="str">
            <v>津屋川</v>
          </cell>
          <cell r="AQ1154" t="str">
            <v/>
          </cell>
          <cell r="AR1154" t="str">
            <v>オキシディションディッチ法</v>
          </cell>
          <cell r="AS1154" t="str">
            <v>2122101001</v>
          </cell>
          <cell r="AT1154" t="str">
            <v/>
          </cell>
          <cell r="AU1154" t="str">
            <v>10</v>
          </cell>
          <cell r="AV1154" t="str">
            <v>10</v>
          </cell>
          <cell r="AW1154">
            <v>0</v>
          </cell>
          <cell r="AX1154">
            <v>0</v>
          </cell>
          <cell r="AY1154">
            <v>0</v>
          </cell>
          <cell r="AZ1154">
            <v>0</v>
          </cell>
          <cell r="BA1154">
            <v>0</v>
          </cell>
          <cell r="BD1154" t="str">
            <v/>
          </cell>
          <cell r="BE1154">
            <v>1</v>
          </cell>
          <cell r="BG1154" t="str">
            <v>1100</v>
          </cell>
        </row>
        <row r="1155">
          <cell r="B1155" t="str">
            <v>G212210106100200</v>
          </cell>
          <cell r="C1155" t="str">
            <v>21.岐阜県</v>
          </cell>
          <cell r="D1155" t="str">
            <v>221</v>
          </cell>
          <cell r="E1155" t="str">
            <v>海津市</v>
          </cell>
          <cell r="F1155" t="str">
            <v>01</v>
          </cell>
          <cell r="G1155" t="str">
            <v>公共 単独</v>
          </cell>
          <cell r="H1155" t="str">
            <v>公共下水道</v>
          </cell>
          <cell r="I1155" t="str">
            <v>単独</v>
          </cell>
          <cell r="J1155" t="str">
            <v>002</v>
          </cell>
          <cell r="K1155" t="str">
            <v>中南部浄化センター</v>
          </cell>
          <cell r="M1155" t="str">
            <v>1</v>
          </cell>
          <cell r="N1155" t="str">
            <v>1</v>
          </cell>
          <cell r="Q1155">
            <v>34608</v>
          </cell>
          <cell r="R1155" t="str">
            <v>平成</v>
          </cell>
          <cell r="S1155">
            <v>6</v>
          </cell>
          <cell r="T1155">
            <v>10</v>
          </cell>
          <cell r="AB1155">
            <v>29800</v>
          </cell>
          <cell r="AC1155" t="str">
            <v>揖斐川</v>
          </cell>
          <cell r="AF1155">
            <v>6</v>
          </cell>
          <cell r="AG1155">
            <v>15</v>
          </cell>
          <cell r="AH1155">
            <v>1.5</v>
          </cell>
          <cell r="AI1155" t="str">
            <v>山崎南谷</v>
          </cell>
          <cell r="AQ1155" t="str">
            <v/>
          </cell>
          <cell r="AR1155" t="str">
            <v>オキシディションディッチ法</v>
          </cell>
          <cell r="AS1155" t="str">
            <v>2122101002</v>
          </cell>
          <cell r="AT1155" t="str">
            <v/>
          </cell>
          <cell r="AU1155" t="str">
            <v>10</v>
          </cell>
          <cell r="AV1155" t="str">
            <v>10</v>
          </cell>
          <cell r="AW1155">
            <v>0</v>
          </cell>
          <cell r="AX1155">
            <v>0</v>
          </cell>
          <cell r="AY1155">
            <v>0</v>
          </cell>
          <cell r="AZ1155">
            <v>0</v>
          </cell>
          <cell r="BA1155">
            <v>0</v>
          </cell>
          <cell r="BD1155" t="str">
            <v/>
          </cell>
          <cell r="BE1155">
            <v>1</v>
          </cell>
          <cell r="BG1155" t="str">
            <v>1100</v>
          </cell>
        </row>
        <row r="1156">
          <cell r="B1156" t="str">
            <v>G212210106100300</v>
          </cell>
          <cell r="C1156" t="str">
            <v>21.岐阜県</v>
          </cell>
          <cell r="D1156" t="str">
            <v>221</v>
          </cell>
          <cell r="E1156" t="str">
            <v>海津市</v>
          </cell>
          <cell r="F1156" t="str">
            <v>01</v>
          </cell>
          <cell r="G1156" t="str">
            <v>公共 単独</v>
          </cell>
          <cell r="H1156" t="str">
            <v>公共下水道</v>
          </cell>
          <cell r="I1156" t="str">
            <v>単独</v>
          </cell>
          <cell r="J1156" t="str">
            <v>003</v>
          </cell>
          <cell r="K1156" t="str">
            <v>海津浄化センター</v>
          </cell>
          <cell r="M1156" t="str">
            <v>1</v>
          </cell>
          <cell r="N1156" t="str">
            <v>1</v>
          </cell>
          <cell r="Q1156">
            <v>35521</v>
          </cell>
          <cell r="R1156" t="str">
            <v>平成</v>
          </cell>
          <cell r="S1156">
            <v>9</v>
          </cell>
          <cell r="T1156">
            <v>4</v>
          </cell>
          <cell r="AB1156">
            <v>40000</v>
          </cell>
          <cell r="AC1156" t="str">
            <v>揖斐川</v>
          </cell>
          <cell r="AD1156" t="str">
            <v>Ａ</v>
          </cell>
          <cell r="AE1156" t="str">
            <v>ロ</v>
          </cell>
          <cell r="AF1156">
            <v>6</v>
          </cell>
          <cell r="AG1156">
            <v>15</v>
          </cell>
          <cell r="AH1156">
            <v>1.5</v>
          </cell>
          <cell r="AK1156" t="str">
            <v>中江川</v>
          </cell>
          <cell r="AQ1156" t="str">
            <v/>
          </cell>
          <cell r="AR1156" t="str">
            <v>オキシディションディッチ法</v>
          </cell>
          <cell r="AS1156" t="str">
            <v>2122101003</v>
          </cell>
          <cell r="AT1156" t="str">
            <v/>
          </cell>
          <cell r="AU1156" t="str">
            <v>10</v>
          </cell>
          <cell r="AV1156" t="str">
            <v>10</v>
          </cell>
          <cell r="AW1156">
            <v>0</v>
          </cell>
          <cell r="AX1156">
            <v>0</v>
          </cell>
          <cell r="AY1156">
            <v>0</v>
          </cell>
          <cell r="AZ1156">
            <v>0</v>
          </cell>
          <cell r="BA1156">
            <v>0</v>
          </cell>
          <cell r="BD1156" t="str">
            <v/>
          </cell>
          <cell r="BE1156">
            <v>1</v>
          </cell>
          <cell r="BG1156" t="str">
            <v>1100</v>
          </cell>
        </row>
        <row r="1157">
          <cell r="B1157" t="str">
            <v>G212210206100400</v>
          </cell>
          <cell r="C1157" t="str">
            <v>21.岐阜県</v>
          </cell>
          <cell r="D1157" t="str">
            <v>221</v>
          </cell>
          <cell r="E1157" t="str">
            <v>海津市</v>
          </cell>
          <cell r="F1157" t="str">
            <v>02</v>
          </cell>
          <cell r="G1157" t="str">
            <v>特環 単独</v>
          </cell>
          <cell r="H1157" t="str">
            <v>特定環境保全公共下水道</v>
          </cell>
          <cell r="I1157" t="str">
            <v>単独</v>
          </cell>
          <cell r="J1157" t="str">
            <v>004</v>
          </cell>
          <cell r="K1157" t="str">
            <v>三郷浄化センター</v>
          </cell>
          <cell r="M1157" t="str">
            <v>1</v>
          </cell>
          <cell r="N1157" t="str">
            <v>1</v>
          </cell>
          <cell r="Q1157">
            <v>35125</v>
          </cell>
          <cell r="R1157" t="str">
            <v>平成</v>
          </cell>
          <cell r="S1157">
            <v>8</v>
          </cell>
          <cell r="T1157">
            <v>3</v>
          </cell>
          <cell r="AB1157">
            <v>4000</v>
          </cell>
          <cell r="AC1157" t="str">
            <v>揖斐川</v>
          </cell>
          <cell r="AD1157" t="str">
            <v>Ａ</v>
          </cell>
          <cell r="AI1157" t="str">
            <v>三郷排水路</v>
          </cell>
          <cell r="AK1157" t="str">
            <v>大江川</v>
          </cell>
          <cell r="AQ1157" t="str">
            <v/>
          </cell>
          <cell r="AR1157" t="str">
            <v>オキシディションディッチ法</v>
          </cell>
          <cell r="AS1157" t="str">
            <v>2122102004</v>
          </cell>
          <cell r="AT1157" t="str">
            <v/>
          </cell>
          <cell r="AU1157" t="str">
            <v>10</v>
          </cell>
          <cell r="AV1157" t="str">
            <v>10</v>
          </cell>
          <cell r="AW1157">
            <v>0</v>
          </cell>
          <cell r="AX1157">
            <v>0</v>
          </cell>
          <cell r="AY1157">
            <v>0</v>
          </cell>
          <cell r="AZ1157">
            <v>0</v>
          </cell>
          <cell r="BA1157">
            <v>0</v>
          </cell>
          <cell r="BD1157" t="str">
            <v/>
          </cell>
          <cell r="BE1157">
            <v>1</v>
          </cell>
          <cell r="BG1157" t="str">
            <v>1100</v>
          </cell>
        </row>
        <row r="1158">
          <cell r="B1158" t="str">
            <v>G212210206100500</v>
          </cell>
          <cell r="C1158" t="str">
            <v>21.岐阜県</v>
          </cell>
          <cell r="D1158" t="str">
            <v>221</v>
          </cell>
          <cell r="E1158" t="str">
            <v>海津市</v>
          </cell>
          <cell r="F1158" t="str">
            <v>02</v>
          </cell>
          <cell r="G1158" t="str">
            <v>特環 単独</v>
          </cell>
          <cell r="H1158" t="str">
            <v>特定環境保全公共下水道</v>
          </cell>
          <cell r="I1158" t="str">
            <v>単独</v>
          </cell>
          <cell r="J1158" t="str">
            <v>005</v>
          </cell>
          <cell r="K1158" t="str">
            <v>今尾浄化センター</v>
          </cell>
          <cell r="M1158" t="str">
            <v>1</v>
          </cell>
          <cell r="N1158" t="str">
            <v>1</v>
          </cell>
          <cell r="Q1158">
            <v>37681</v>
          </cell>
          <cell r="R1158" t="str">
            <v>平成</v>
          </cell>
          <cell r="S1158">
            <v>15</v>
          </cell>
          <cell r="T1158">
            <v>3</v>
          </cell>
          <cell r="AB1158">
            <v>9400</v>
          </cell>
          <cell r="AC1158" t="str">
            <v>揖斐川</v>
          </cell>
          <cell r="AD1158" t="str">
            <v>Ａ</v>
          </cell>
          <cell r="AI1158" t="str">
            <v>今尾排水路</v>
          </cell>
          <cell r="AQ1158" t="str">
            <v/>
          </cell>
          <cell r="AR1158" t="str">
            <v>オキシディションディッチ法</v>
          </cell>
          <cell r="AS1158" t="str">
            <v>2122102005</v>
          </cell>
          <cell r="AT1158" t="str">
            <v/>
          </cell>
          <cell r="AU1158" t="str">
            <v>10</v>
          </cell>
          <cell r="AV1158" t="str">
            <v>10</v>
          </cell>
          <cell r="AW1158">
            <v>0</v>
          </cell>
          <cell r="AX1158">
            <v>0</v>
          </cell>
          <cell r="AY1158">
            <v>0</v>
          </cell>
          <cell r="AZ1158">
            <v>0</v>
          </cell>
          <cell r="BA1158">
            <v>0</v>
          </cell>
          <cell r="BD1158" t="str">
            <v/>
          </cell>
          <cell r="BE1158">
            <v>1</v>
          </cell>
          <cell r="BG1158" t="str">
            <v>1100</v>
          </cell>
        </row>
        <row r="1159">
          <cell r="B1159" t="str">
            <v>G213410106100100</v>
          </cell>
          <cell r="C1159" t="str">
            <v>21.岐阜県</v>
          </cell>
          <cell r="D1159" t="str">
            <v>341</v>
          </cell>
          <cell r="E1159" t="str">
            <v>養老町</v>
          </cell>
          <cell r="F1159" t="str">
            <v>01</v>
          </cell>
          <cell r="G1159" t="str">
            <v>公共 単独</v>
          </cell>
          <cell r="H1159" t="str">
            <v>公共下水道</v>
          </cell>
          <cell r="I1159" t="str">
            <v>単独</v>
          </cell>
          <cell r="J1159" t="str">
            <v>001</v>
          </cell>
          <cell r="K1159" t="str">
            <v>中部浄化センター</v>
          </cell>
          <cell r="M1159" t="str">
            <v>1</v>
          </cell>
          <cell r="N1159" t="str">
            <v>1</v>
          </cell>
          <cell r="Q1159">
            <v>36708</v>
          </cell>
          <cell r="R1159" t="str">
            <v>平成</v>
          </cell>
          <cell r="S1159">
            <v>12</v>
          </cell>
          <cell r="T1159">
            <v>7</v>
          </cell>
          <cell r="AB1159">
            <v>18000</v>
          </cell>
          <cell r="AC1159" t="str">
            <v>揖斐川水域</v>
          </cell>
          <cell r="AD1159" t="str">
            <v>Ａ</v>
          </cell>
          <cell r="AE1159" t="str">
            <v>イ</v>
          </cell>
          <cell r="AF1159">
            <v>15</v>
          </cell>
          <cell r="AI1159" t="str">
            <v>新川</v>
          </cell>
          <cell r="AK1159" t="str">
            <v>金草川</v>
          </cell>
          <cell r="AQ1159" t="str">
            <v/>
          </cell>
          <cell r="AR1159" t="str">
            <v>オキシディションディッチ法</v>
          </cell>
          <cell r="AS1159" t="str">
            <v>2134101001</v>
          </cell>
          <cell r="AT1159" t="str">
            <v/>
          </cell>
          <cell r="AU1159" t="str">
            <v>10</v>
          </cell>
          <cell r="AV1159" t="str">
            <v>10</v>
          </cell>
          <cell r="AW1159">
            <v>0</v>
          </cell>
          <cell r="AX1159">
            <v>0</v>
          </cell>
          <cell r="AY1159">
            <v>0</v>
          </cell>
          <cell r="AZ1159">
            <v>0</v>
          </cell>
          <cell r="BA1159">
            <v>0</v>
          </cell>
          <cell r="BD1159" t="str">
            <v/>
          </cell>
          <cell r="BE1159">
            <v>1</v>
          </cell>
          <cell r="BG1159" t="str">
            <v>1100</v>
          </cell>
        </row>
        <row r="1160">
          <cell r="B1160" t="str">
            <v>G213610106100100</v>
          </cell>
          <cell r="C1160" t="str">
            <v>21.岐阜県</v>
          </cell>
          <cell r="D1160" t="str">
            <v>361</v>
          </cell>
          <cell r="E1160" t="str">
            <v>垂井町</v>
          </cell>
          <cell r="F1160" t="str">
            <v>01</v>
          </cell>
          <cell r="G1160" t="str">
            <v>公共 単独</v>
          </cell>
          <cell r="H1160" t="str">
            <v>公共下水道</v>
          </cell>
          <cell r="I1160" t="str">
            <v>単独</v>
          </cell>
          <cell r="J1160" t="str">
            <v>001</v>
          </cell>
          <cell r="K1160" t="str">
            <v>垂井町浄化センター</v>
          </cell>
          <cell r="M1160" t="str">
            <v>1</v>
          </cell>
          <cell r="N1160" t="str">
            <v>1</v>
          </cell>
          <cell r="Q1160">
            <v>37347</v>
          </cell>
          <cell r="R1160" t="str">
            <v>平成</v>
          </cell>
          <cell r="S1160">
            <v>14</v>
          </cell>
          <cell r="T1160">
            <v>4</v>
          </cell>
          <cell r="AB1160">
            <v>76100</v>
          </cell>
          <cell r="AC1160" t="str">
            <v>揖斐川</v>
          </cell>
          <cell r="AD1160" t="str">
            <v>Ｂ</v>
          </cell>
          <cell r="AE1160" t="str">
            <v>イ</v>
          </cell>
          <cell r="AF1160">
            <v>15</v>
          </cell>
          <cell r="AG1160">
            <v>15</v>
          </cell>
          <cell r="AH1160">
            <v>1.5</v>
          </cell>
          <cell r="AK1160" t="str">
            <v>相川</v>
          </cell>
          <cell r="AL1160" t="str">
            <v>不破北部防災ダム</v>
          </cell>
          <cell r="AM1160">
            <v>9.5</v>
          </cell>
          <cell r="AO1160" t="str">
            <v>垂井町</v>
          </cell>
          <cell r="AQ1160" t="str">
            <v/>
          </cell>
          <cell r="AR1160" t="str">
            <v>標準活性汚泥法</v>
          </cell>
          <cell r="AS1160" t="str">
            <v>2136101001</v>
          </cell>
          <cell r="AT1160" t="str">
            <v/>
          </cell>
          <cell r="AU1160" t="str">
            <v>10</v>
          </cell>
          <cell r="AV1160" t="str">
            <v>10</v>
          </cell>
          <cell r="AW1160">
            <v>0</v>
          </cell>
          <cell r="AX1160">
            <v>0</v>
          </cell>
          <cell r="AY1160">
            <v>0</v>
          </cell>
          <cell r="AZ1160">
            <v>0</v>
          </cell>
          <cell r="BA1160">
            <v>0</v>
          </cell>
          <cell r="BD1160" t="str">
            <v/>
          </cell>
          <cell r="BE1160">
            <v>1</v>
          </cell>
          <cell r="BG1160" t="str">
            <v>1100</v>
          </cell>
        </row>
        <row r="1161">
          <cell r="B1161" t="str">
            <v>G213620106100100</v>
          </cell>
          <cell r="C1161" t="str">
            <v>21.岐阜県</v>
          </cell>
          <cell r="D1161" t="str">
            <v>362</v>
          </cell>
          <cell r="E1161" t="str">
            <v>関ケ原町</v>
          </cell>
          <cell r="F1161" t="str">
            <v>01</v>
          </cell>
          <cell r="G1161" t="str">
            <v>公共 単独</v>
          </cell>
          <cell r="H1161" t="str">
            <v>公共下水道</v>
          </cell>
          <cell r="I1161" t="str">
            <v>単独</v>
          </cell>
          <cell r="J1161" t="str">
            <v>001</v>
          </cell>
          <cell r="K1161" t="str">
            <v>関ヶ原浄化センター</v>
          </cell>
          <cell r="M1161" t="str">
            <v>1</v>
          </cell>
          <cell r="N1161" t="str">
            <v>1</v>
          </cell>
          <cell r="Q1161">
            <v>35886</v>
          </cell>
          <cell r="R1161" t="str">
            <v>平成</v>
          </cell>
          <cell r="S1161">
            <v>10</v>
          </cell>
          <cell r="T1161">
            <v>4</v>
          </cell>
          <cell r="AB1161">
            <v>20200</v>
          </cell>
          <cell r="AC1161" t="str">
            <v>牧田川</v>
          </cell>
          <cell r="AF1161">
            <v>15</v>
          </cell>
          <cell r="AG1161">
            <v>20</v>
          </cell>
          <cell r="AH1161">
            <v>2.5</v>
          </cell>
          <cell r="AI1161" t="str">
            <v>藤古川</v>
          </cell>
          <cell r="AJ1161" t="str">
            <v>牧田川</v>
          </cell>
          <cell r="AK1161" t="str">
            <v>揖斐川</v>
          </cell>
          <cell r="AL1161" t="str">
            <v>藤古川</v>
          </cell>
          <cell r="AM1161">
            <v>2.5</v>
          </cell>
          <cell r="AO1161" t="str">
            <v>関ヶ原町</v>
          </cell>
          <cell r="AQ1161" t="str">
            <v/>
          </cell>
          <cell r="AR1161" t="str">
            <v>オキシディションディッチ法</v>
          </cell>
          <cell r="AS1161" t="str">
            <v>2136201001</v>
          </cell>
          <cell r="AT1161" t="str">
            <v/>
          </cell>
          <cell r="AU1161" t="str">
            <v>10</v>
          </cell>
          <cell r="AV1161" t="str">
            <v>10</v>
          </cell>
          <cell r="AW1161">
            <v>0</v>
          </cell>
          <cell r="AX1161">
            <v>0</v>
          </cell>
          <cell r="AY1161">
            <v>0</v>
          </cell>
          <cell r="AZ1161">
            <v>0</v>
          </cell>
          <cell r="BA1161">
            <v>0</v>
          </cell>
          <cell r="BD1161" t="str">
            <v/>
          </cell>
          <cell r="BE1161">
            <v>1</v>
          </cell>
          <cell r="BG1161" t="str">
            <v>1100</v>
          </cell>
        </row>
        <row r="1162">
          <cell r="B1162" t="str">
            <v>G213810106100100</v>
          </cell>
          <cell r="C1162" t="str">
            <v>21.岐阜県</v>
          </cell>
          <cell r="D1162" t="str">
            <v>381</v>
          </cell>
          <cell r="E1162" t="str">
            <v>神戸町</v>
          </cell>
          <cell r="F1162" t="str">
            <v>01</v>
          </cell>
          <cell r="G1162" t="str">
            <v>公共 単独</v>
          </cell>
          <cell r="H1162" t="str">
            <v>公共下水道</v>
          </cell>
          <cell r="I1162" t="str">
            <v>単独</v>
          </cell>
          <cell r="J1162" t="str">
            <v>001</v>
          </cell>
          <cell r="K1162" t="str">
            <v>神戸浄化センター</v>
          </cell>
          <cell r="M1162" t="str">
            <v>1</v>
          </cell>
          <cell r="N1162" t="str">
            <v>1</v>
          </cell>
          <cell r="O1162" t="str">
            <v>1</v>
          </cell>
          <cell r="Q1162">
            <v>39142</v>
          </cell>
          <cell r="R1162" t="str">
            <v>平成</v>
          </cell>
          <cell r="S1162">
            <v>19</v>
          </cell>
          <cell r="T1162">
            <v>3</v>
          </cell>
          <cell r="AB1162">
            <v>18200</v>
          </cell>
          <cell r="AC1162" t="str">
            <v>揖斐川</v>
          </cell>
          <cell r="AD1162" t="str">
            <v>ＡＡ</v>
          </cell>
          <cell r="AE1162" t="str">
            <v>イ</v>
          </cell>
          <cell r="AF1162">
            <v>15</v>
          </cell>
          <cell r="AG1162">
            <v>15</v>
          </cell>
          <cell r="AH1162">
            <v>1.5</v>
          </cell>
          <cell r="AK1162" t="str">
            <v>東平野井川</v>
          </cell>
          <cell r="AQ1162" t="str">
            <v/>
          </cell>
          <cell r="AR1162" t="str">
            <v>その他処理方法</v>
          </cell>
          <cell r="AS1162" t="str">
            <v>2138101001</v>
          </cell>
          <cell r="AT1162" t="str">
            <v/>
          </cell>
          <cell r="AU1162" t="str">
            <v>11</v>
          </cell>
          <cell r="AV1162" t="str">
            <v>11</v>
          </cell>
          <cell r="AW1162">
            <v>0</v>
          </cell>
          <cell r="AX1162">
            <v>0</v>
          </cell>
          <cell r="AY1162">
            <v>0</v>
          </cell>
          <cell r="AZ1162">
            <v>0</v>
          </cell>
          <cell r="BA1162">
            <v>0</v>
          </cell>
          <cell r="BD1162" t="str">
            <v/>
          </cell>
          <cell r="BE1162">
            <v>1</v>
          </cell>
          <cell r="BG1162" t="str">
            <v>1110</v>
          </cell>
        </row>
        <row r="1163">
          <cell r="B1163" t="str">
            <v>G213820206100100</v>
          </cell>
          <cell r="C1163" t="str">
            <v>21.岐阜県</v>
          </cell>
          <cell r="D1163" t="str">
            <v>382</v>
          </cell>
          <cell r="E1163" t="str">
            <v>輪之内町</v>
          </cell>
          <cell r="F1163" t="str">
            <v>02</v>
          </cell>
          <cell r="G1163" t="str">
            <v>特環 単独</v>
          </cell>
          <cell r="H1163" t="str">
            <v>特定環境保全公共下水道</v>
          </cell>
          <cell r="I1163" t="str">
            <v>単独</v>
          </cell>
          <cell r="J1163" t="str">
            <v>001</v>
          </cell>
          <cell r="K1163" t="str">
            <v>輪之内浄化センター</v>
          </cell>
          <cell r="M1163" t="str">
            <v>1</v>
          </cell>
          <cell r="N1163" t="str">
            <v>1</v>
          </cell>
          <cell r="Q1163">
            <v>38078</v>
          </cell>
          <cell r="R1163" t="str">
            <v>平成</v>
          </cell>
          <cell r="S1163">
            <v>16</v>
          </cell>
          <cell r="T1163">
            <v>4</v>
          </cell>
          <cell r="AB1163">
            <v>19000</v>
          </cell>
          <cell r="AC1163" t="str">
            <v>揖斐川</v>
          </cell>
          <cell r="AD1163" t="str">
            <v>Ａ</v>
          </cell>
          <cell r="AE1163" t="str">
            <v>イ</v>
          </cell>
          <cell r="AF1163">
            <v>15</v>
          </cell>
          <cell r="AG1163">
            <v>15</v>
          </cell>
          <cell r="AH1163">
            <v>1.5</v>
          </cell>
          <cell r="AI1163" t="str">
            <v>大榑川</v>
          </cell>
          <cell r="AK1163" t="str">
            <v>揖斐川</v>
          </cell>
          <cell r="AL1163" t="str">
            <v>輪之内町上水道第１水源地</v>
          </cell>
          <cell r="AM1163">
            <v>0.5</v>
          </cell>
          <cell r="AQ1163" t="str">
            <v/>
          </cell>
          <cell r="AR1163" t="str">
            <v>高度処理オキシディションディッチ法</v>
          </cell>
          <cell r="AS1163" t="str">
            <v>2138202001</v>
          </cell>
          <cell r="AT1163" t="str">
            <v/>
          </cell>
          <cell r="AU1163" t="str">
            <v>10</v>
          </cell>
          <cell r="AV1163" t="str">
            <v>10</v>
          </cell>
          <cell r="AW1163">
            <v>0</v>
          </cell>
          <cell r="AX1163">
            <v>0</v>
          </cell>
          <cell r="AY1163">
            <v>0</v>
          </cell>
          <cell r="AZ1163">
            <v>0</v>
          </cell>
          <cell r="BA1163">
            <v>0</v>
          </cell>
          <cell r="BD1163" t="str">
            <v/>
          </cell>
          <cell r="BE1163">
            <v>1</v>
          </cell>
          <cell r="BG1163" t="str">
            <v>1100</v>
          </cell>
        </row>
        <row r="1164">
          <cell r="B1164" t="str">
            <v>G213830106100100</v>
          </cell>
          <cell r="C1164" t="str">
            <v>21.岐阜県</v>
          </cell>
          <cell r="D1164" t="str">
            <v>383</v>
          </cell>
          <cell r="E1164" t="str">
            <v>安八町</v>
          </cell>
          <cell r="F1164" t="str">
            <v>01</v>
          </cell>
          <cell r="G1164" t="str">
            <v>公共 単独</v>
          </cell>
          <cell r="H1164" t="str">
            <v>公共下水道</v>
          </cell>
          <cell r="I1164" t="str">
            <v>単独</v>
          </cell>
          <cell r="J1164" t="str">
            <v>001</v>
          </cell>
          <cell r="K1164" t="str">
            <v>安八浄化センター</v>
          </cell>
          <cell r="M1164" t="str">
            <v>1</v>
          </cell>
          <cell r="N1164" t="str">
            <v>1</v>
          </cell>
          <cell r="Q1164">
            <v>35521</v>
          </cell>
          <cell r="R1164" t="str">
            <v>平成</v>
          </cell>
          <cell r="S1164">
            <v>9</v>
          </cell>
          <cell r="T1164">
            <v>4</v>
          </cell>
          <cell r="AB1164">
            <v>31700</v>
          </cell>
          <cell r="AC1164" t="str">
            <v>揖斐川</v>
          </cell>
          <cell r="AD1164" t="str">
            <v>Ａ-1</v>
          </cell>
          <cell r="AF1164">
            <v>15</v>
          </cell>
          <cell r="AH1164">
            <v>1.5</v>
          </cell>
          <cell r="AI1164" t="str">
            <v>準用河川　中須川</v>
          </cell>
          <cell r="AK1164" t="str">
            <v>揖斐川</v>
          </cell>
          <cell r="AQ1164" t="str">
            <v/>
          </cell>
          <cell r="AR1164" t="str">
            <v>オキシディションディッチ法</v>
          </cell>
          <cell r="AS1164" t="str">
            <v>2138301001</v>
          </cell>
          <cell r="AT1164" t="str">
            <v/>
          </cell>
          <cell r="AU1164" t="str">
            <v>10</v>
          </cell>
          <cell r="AV1164" t="str">
            <v>10</v>
          </cell>
          <cell r="AW1164">
            <v>0</v>
          </cell>
          <cell r="AX1164">
            <v>0</v>
          </cell>
          <cell r="AY1164">
            <v>0</v>
          </cell>
          <cell r="AZ1164">
            <v>0</v>
          </cell>
          <cell r="BA1164">
            <v>0</v>
          </cell>
          <cell r="BD1164" t="str">
            <v/>
          </cell>
          <cell r="BE1164">
            <v>1</v>
          </cell>
          <cell r="BG1164" t="str">
            <v>1100</v>
          </cell>
        </row>
        <row r="1165">
          <cell r="B1165" t="str">
            <v>G214010206100100</v>
          </cell>
          <cell r="C1165" t="str">
            <v>21.岐阜県</v>
          </cell>
          <cell r="D1165" t="str">
            <v>401</v>
          </cell>
          <cell r="E1165" t="str">
            <v>揖斐川町</v>
          </cell>
          <cell r="F1165" t="str">
            <v>02</v>
          </cell>
          <cell r="G1165" t="str">
            <v>特環 単独</v>
          </cell>
          <cell r="H1165" t="str">
            <v>特定環境保全公共下水道</v>
          </cell>
          <cell r="I1165" t="str">
            <v>単独</v>
          </cell>
          <cell r="J1165" t="str">
            <v>001</v>
          </cell>
          <cell r="K1165" t="str">
            <v>脛永浄化センター</v>
          </cell>
          <cell r="M1165" t="str">
            <v>1</v>
          </cell>
          <cell r="Q1165">
            <v>40087</v>
          </cell>
          <cell r="R1165" t="str">
            <v>平成</v>
          </cell>
          <cell r="S1165">
            <v>21</v>
          </cell>
          <cell r="T1165">
            <v>10</v>
          </cell>
          <cell r="AB1165">
            <v>8014</v>
          </cell>
          <cell r="AC1165" t="str">
            <v>揖斐川</v>
          </cell>
          <cell r="AD1165" t="str">
            <v>ＡＡ</v>
          </cell>
          <cell r="AE1165" t="str">
            <v>イ</v>
          </cell>
          <cell r="AF1165">
            <v>15</v>
          </cell>
          <cell r="AG1165">
            <v>15</v>
          </cell>
          <cell r="AH1165">
            <v>1</v>
          </cell>
          <cell r="AI1165" t="str">
            <v>農業用排水路</v>
          </cell>
          <cell r="AK1165" t="str">
            <v>揖斐川</v>
          </cell>
          <cell r="AQ1165" t="str">
            <v/>
          </cell>
          <cell r="AR1165" t="str">
            <v>オキシディションディッチ法</v>
          </cell>
          <cell r="AS1165" t="str">
            <v>2140102001</v>
          </cell>
          <cell r="AT1165">
            <v>1</v>
          </cell>
          <cell r="AU1165" t="str">
            <v>00</v>
          </cell>
          <cell r="AV1165" t="str">
            <v>00</v>
          </cell>
          <cell r="AW1165">
            <v>0</v>
          </cell>
          <cell r="AX1165">
            <v>0</v>
          </cell>
          <cell r="AY1165">
            <v>0</v>
          </cell>
          <cell r="AZ1165">
            <v>0</v>
          </cell>
          <cell r="BA1165">
            <v>0</v>
          </cell>
          <cell r="BD1165" t="str">
            <v/>
          </cell>
          <cell r="BE1165">
            <v>1</v>
          </cell>
          <cell r="BG1165" t="str">
            <v>1000</v>
          </cell>
        </row>
        <row r="1166">
          <cell r="B1166" t="str">
            <v>G214040106100100</v>
          </cell>
          <cell r="C1166" t="str">
            <v>21.岐阜県</v>
          </cell>
          <cell r="D1166" t="str">
            <v>404</v>
          </cell>
          <cell r="E1166" t="str">
            <v>池田町</v>
          </cell>
          <cell r="F1166" t="str">
            <v>01</v>
          </cell>
          <cell r="G1166" t="str">
            <v>公共 単独</v>
          </cell>
          <cell r="H1166" t="str">
            <v>公共下水道</v>
          </cell>
          <cell r="I1166" t="str">
            <v>単独</v>
          </cell>
          <cell r="J1166" t="str">
            <v>001</v>
          </cell>
          <cell r="K1166" t="str">
            <v>池田浄化センター</v>
          </cell>
          <cell r="M1166" t="str">
            <v>1</v>
          </cell>
          <cell r="N1166" t="str">
            <v>1</v>
          </cell>
          <cell r="Q1166">
            <v>37712</v>
          </cell>
          <cell r="R1166" t="str">
            <v>平成</v>
          </cell>
          <cell r="S1166">
            <v>15</v>
          </cell>
          <cell r="T1166">
            <v>4</v>
          </cell>
          <cell r="AB1166">
            <v>28192</v>
          </cell>
          <cell r="AC1166" t="str">
            <v>揖斐川</v>
          </cell>
          <cell r="AD1166" t="str">
            <v>Ａ</v>
          </cell>
          <cell r="AE1166" t="str">
            <v>イ</v>
          </cell>
          <cell r="AF1166">
            <v>15</v>
          </cell>
          <cell r="AG1166">
            <v>15</v>
          </cell>
          <cell r="AH1166">
            <v>1.5</v>
          </cell>
          <cell r="AI1166" t="str">
            <v>準用河川　松戸川</v>
          </cell>
          <cell r="AK1166" t="str">
            <v>東川</v>
          </cell>
          <cell r="AQ1166" t="str">
            <v/>
          </cell>
          <cell r="AR1166" t="str">
            <v>オキシディションディッチ法</v>
          </cell>
          <cell r="AS1166" t="str">
            <v>2140401001</v>
          </cell>
          <cell r="AT1166" t="str">
            <v/>
          </cell>
          <cell r="AU1166" t="str">
            <v>10</v>
          </cell>
          <cell r="AV1166" t="str">
            <v>10</v>
          </cell>
          <cell r="AW1166">
            <v>0</v>
          </cell>
          <cell r="AX1166">
            <v>0</v>
          </cell>
          <cell r="AY1166">
            <v>0</v>
          </cell>
          <cell r="AZ1166">
            <v>0</v>
          </cell>
          <cell r="BA1166">
            <v>0</v>
          </cell>
          <cell r="BD1166" t="str">
            <v/>
          </cell>
          <cell r="BE1166">
            <v>1</v>
          </cell>
          <cell r="BG1166" t="str">
            <v>1100</v>
          </cell>
        </row>
        <row r="1167">
          <cell r="B1167" t="str">
            <v>G214210106100100</v>
          </cell>
          <cell r="C1167" t="str">
            <v>21.岐阜県</v>
          </cell>
          <cell r="D1167" t="str">
            <v>421</v>
          </cell>
          <cell r="E1167" t="str">
            <v>北方町</v>
          </cell>
          <cell r="F1167" t="str">
            <v>01</v>
          </cell>
          <cell r="G1167" t="str">
            <v>公共 単独</v>
          </cell>
          <cell r="H1167" t="str">
            <v>公共下水道</v>
          </cell>
          <cell r="I1167" t="str">
            <v>単独</v>
          </cell>
          <cell r="J1167" t="str">
            <v>001</v>
          </cell>
          <cell r="K1167" t="str">
            <v>北方町ふれあい水センター</v>
          </cell>
          <cell r="M1167" t="str">
            <v>1</v>
          </cell>
          <cell r="N1167" t="str">
            <v>1</v>
          </cell>
          <cell r="Q1167">
            <v>35886</v>
          </cell>
          <cell r="R1167" t="str">
            <v>平成</v>
          </cell>
          <cell r="S1167">
            <v>10</v>
          </cell>
          <cell r="T1167">
            <v>4</v>
          </cell>
          <cell r="AB1167">
            <v>29015</v>
          </cell>
          <cell r="AC1167" t="str">
            <v>木曽川水系長良川</v>
          </cell>
          <cell r="AD1167" t="str">
            <v>Ａ</v>
          </cell>
          <cell r="AE1167" t="str">
            <v>イ</v>
          </cell>
          <cell r="AF1167">
            <v>15</v>
          </cell>
          <cell r="AG1167">
            <v>20</v>
          </cell>
          <cell r="AH1167">
            <v>2.5</v>
          </cell>
          <cell r="AK1167" t="str">
            <v>長良川水系天王川</v>
          </cell>
          <cell r="AQ1167" t="str">
            <v/>
          </cell>
          <cell r="AR1167" t="str">
            <v>オキシディションディッチ法</v>
          </cell>
          <cell r="AS1167" t="str">
            <v>2142101001</v>
          </cell>
          <cell r="AT1167" t="str">
            <v/>
          </cell>
          <cell r="AU1167" t="str">
            <v>10</v>
          </cell>
          <cell r="AV1167" t="str">
            <v>10</v>
          </cell>
          <cell r="AW1167">
            <v>0</v>
          </cell>
          <cell r="AX1167">
            <v>0</v>
          </cell>
          <cell r="AY1167">
            <v>0</v>
          </cell>
          <cell r="AZ1167">
            <v>0</v>
          </cell>
          <cell r="BA1167">
            <v>0</v>
          </cell>
          <cell r="BD1167" t="str">
            <v/>
          </cell>
          <cell r="BE1167">
            <v>1</v>
          </cell>
          <cell r="BG1167" t="str">
            <v>1100</v>
          </cell>
        </row>
        <row r="1168">
          <cell r="B1168" t="str">
            <v>G215020206100100</v>
          </cell>
          <cell r="C1168" t="str">
            <v>21.岐阜県</v>
          </cell>
          <cell r="D1168" t="str">
            <v>502</v>
          </cell>
          <cell r="E1168" t="str">
            <v>富加町</v>
          </cell>
          <cell r="F1168" t="str">
            <v>02</v>
          </cell>
          <cell r="G1168" t="str">
            <v>特環 単独</v>
          </cell>
          <cell r="H1168" t="str">
            <v>特定環境保全公共下水道</v>
          </cell>
          <cell r="I1168" t="str">
            <v>単独</v>
          </cell>
          <cell r="J1168" t="str">
            <v>001</v>
          </cell>
          <cell r="K1168" t="str">
            <v>富加町浄化センター</v>
          </cell>
          <cell r="M1168" t="str">
            <v>1</v>
          </cell>
          <cell r="N1168" t="str">
            <v>1</v>
          </cell>
          <cell r="P1168" t="str">
            <v>1</v>
          </cell>
          <cell r="Q1168">
            <v>36220</v>
          </cell>
          <cell r="R1168" t="str">
            <v>平成</v>
          </cell>
          <cell r="S1168">
            <v>11</v>
          </cell>
          <cell r="T1168">
            <v>3</v>
          </cell>
          <cell r="AB1168">
            <v>12500</v>
          </cell>
          <cell r="AC1168" t="str">
            <v>長良川流域</v>
          </cell>
          <cell r="AD1168" t="str">
            <v>Ａ</v>
          </cell>
          <cell r="AE1168" t="str">
            <v>イ</v>
          </cell>
          <cell r="AF1168">
            <v>6</v>
          </cell>
          <cell r="AG1168">
            <v>15</v>
          </cell>
          <cell r="AH1168">
            <v>1</v>
          </cell>
          <cell r="AK1168" t="str">
            <v>詰田川</v>
          </cell>
          <cell r="AL1168" t="str">
            <v>山之上浄水場</v>
          </cell>
          <cell r="AM1168">
            <v>20</v>
          </cell>
          <cell r="AO1168" t="str">
            <v>岐阜県</v>
          </cell>
          <cell r="AQ1168" t="str">
            <v/>
          </cell>
          <cell r="AR1168" t="str">
            <v>オキシディションディッチ法</v>
          </cell>
          <cell r="AS1168" t="str">
            <v>2150202001</v>
          </cell>
          <cell r="AT1168" t="str">
            <v/>
          </cell>
          <cell r="AU1168" t="str">
            <v>10</v>
          </cell>
          <cell r="AV1168" t="str">
            <v>10</v>
          </cell>
          <cell r="AW1168">
            <v>1</v>
          </cell>
          <cell r="AX1168">
            <v>0</v>
          </cell>
          <cell r="AY1168">
            <v>0</v>
          </cell>
          <cell r="AZ1168">
            <v>0</v>
          </cell>
          <cell r="BA1168">
            <v>0</v>
          </cell>
          <cell r="BD1168" t="str">
            <v/>
          </cell>
          <cell r="BE1168">
            <v>1</v>
          </cell>
          <cell r="BG1168" t="str">
            <v>1101</v>
          </cell>
        </row>
        <row r="1169">
          <cell r="B1169" t="str">
            <v>G216040206100100</v>
          </cell>
          <cell r="C1169" t="str">
            <v>21.岐阜県</v>
          </cell>
          <cell r="D1169" t="str">
            <v>604</v>
          </cell>
          <cell r="E1169" t="str">
            <v>白川村</v>
          </cell>
          <cell r="F1169" t="str">
            <v>02</v>
          </cell>
          <cell r="G1169" t="str">
            <v>特環 単独</v>
          </cell>
          <cell r="H1169" t="str">
            <v>特定環境保全公共下水道</v>
          </cell>
          <cell r="I1169" t="str">
            <v>単独</v>
          </cell>
          <cell r="J1169" t="str">
            <v>001</v>
          </cell>
          <cell r="K1169" t="str">
            <v>白川クリーンセンター</v>
          </cell>
          <cell r="M1169" t="str">
            <v>1</v>
          </cell>
          <cell r="N1169" t="str">
            <v>1</v>
          </cell>
          <cell r="Q1169">
            <v>34881</v>
          </cell>
          <cell r="R1169" t="str">
            <v>平成</v>
          </cell>
          <cell r="S1169">
            <v>7</v>
          </cell>
          <cell r="T1169">
            <v>7</v>
          </cell>
          <cell r="AB1169">
            <v>4970</v>
          </cell>
          <cell r="AC1169" t="str">
            <v>庄川</v>
          </cell>
          <cell r="AD1169" t="str">
            <v>Ａ</v>
          </cell>
          <cell r="AE1169" t="str">
            <v>イ</v>
          </cell>
          <cell r="AF1169">
            <v>20</v>
          </cell>
          <cell r="AK1169" t="str">
            <v>庄川</v>
          </cell>
          <cell r="AL1169" t="str">
            <v>合口ダム</v>
          </cell>
          <cell r="AN1169">
            <v>51.8</v>
          </cell>
          <cell r="AO1169" t="str">
            <v>砺波市</v>
          </cell>
          <cell r="AQ1169" t="str">
            <v/>
          </cell>
          <cell r="AR1169" t="str">
            <v>オキシディションディッチ法</v>
          </cell>
          <cell r="AS1169" t="str">
            <v>2160402001</v>
          </cell>
          <cell r="AT1169" t="str">
            <v/>
          </cell>
          <cell r="AU1169" t="str">
            <v>10</v>
          </cell>
          <cell r="AV1169" t="str">
            <v>10</v>
          </cell>
          <cell r="AW1169">
            <v>0</v>
          </cell>
          <cell r="AX1169">
            <v>0</v>
          </cell>
          <cell r="AY1169">
            <v>0</v>
          </cell>
          <cell r="AZ1169">
            <v>0</v>
          </cell>
          <cell r="BA1169">
            <v>0</v>
          </cell>
          <cell r="BD1169" t="str">
            <v/>
          </cell>
          <cell r="BE1169">
            <v>1</v>
          </cell>
          <cell r="BG1169" t="str">
            <v>1100</v>
          </cell>
        </row>
        <row r="1170">
          <cell r="B1170" t="str">
            <v>G216040206100200</v>
          </cell>
          <cell r="C1170" t="str">
            <v>21.岐阜県</v>
          </cell>
          <cell r="D1170" t="str">
            <v>604</v>
          </cell>
          <cell r="E1170" t="str">
            <v>白川村</v>
          </cell>
          <cell r="F1170" t="str">
            <v>02</v>
          </cell>
          <cell r="G1170" t="str">
            <v>特環 単独</v>
          </cell>
          <cell r="H1170" t="str">
            <v>特定環境保全公共下水道</v>
          </cell>
          <cell r="I1170" t="str">
            <v>単独</v>
          </cell>
          <cell r="J1170" t="str">
            <v>002</v>
          </cell>
          <cell r="K1170" t="str">
            <v>平瀬クリーンセンター</v>
          </cell>
          <cell r="M1170" t="str">
            <v>1</v>
          </cell>
          <cell r="N1170" t="str">
            <v>1</v>
          </cell>
          <cell r="Q1170">
            <v>38078</v>
          </cell>
          <cell r="R1170" t="str">
            <v>平成</v>
          </cell>
          <cell r="S1170">
            <v>16</v>
          </cell>
          <cell r="T1170">
            <v>4</v>
          </cell>
          <cell r="AB1170">
            <v>1300</v>
          </cell>
          <cell r="AC1170" t="str">
            <v>庄川</v>
          </cell>
          <cell r="AD1170" t="str">
            <v>Ａ</v>
          </cell>
          <cell r="AE1170" t="str">
            <v>イ</v>
          </cell>
          <cell r="AF1170">
            <v>20</v>
          </cell>
          <cell r="AK1170" t="str">
            <v>庄川</v>
          </cell>
          <cell r="AL1170" t="str">
            <v>合口ダム</v>
          </cell>
          <cell r="AN1170">
            <v>71.3</v>
          </cell>
          <cell r="AO1170" t="str">
            <v>砺波市</v>
          </cell>
          <cell r="AQ1170" t="str">
            <v/>
          </cell>
          <cell r="AR1170" t="str">
            <v>オキシディションディッチ法</v>
          </cell>
          <cell r="AS1170" t="str">
            <v>2160402002</v>
          </cell>
          <cell r="AT1170" t="str">
            <v/>
          </cell>
          <cell r="AU1170" t="str">
            <v>10</v>
          </cell>
          <cell r="AV1170" t="str">
            <v>10</v>
          </cell>
          <cell r="AW1170">
            <v>0</v>
          </cell>
          <cell r="AX1170">
            <v>0</v>
          </cell>
          <cell r="AY1170">
            <v>0</v>
          </cell>
          <cell r="AZ1170">
            <v>0</v>
          </cell>
          <cell r="BA1170">
            <v>0</v>
          </cell>
          <cell r="BD1170" t="str">
            <v/>
          </cell>
          <cell r="BE1170">
            <v>1</v>
          </cell>
          <cell r="BG1170" t="str">
            <v>1100</v>
          </cell>
        </row>
        <row r="1171">
          <cell r="B1171" t="str">
            <v>G220018106100100</v>
          </cell>
          <cell r="C1171" t="str">
            <v>22.静岡県</v>
          </cell>
          <cell r="D1171" t="str">
            <v>001</v>
          </cell>
          <cell r="E1171" t="str">
            <v>西遠流域</v>
          </cell>
          <cell r="F1171" t="str">
            <v>81</v>
          </cell>
          <cell r="G1171" t="str">
            <v>流域</v>
          </cell>
          <cell r="H1171" t="str">
            <v>流域下水道</v>
          </cell>
          <cell r="I1171" t="str">
            <v/>
          </cell>
          <cell r="J1171" t="str">
            <v>001</v>
          </cell>
          <cell r="K1171" t="str">
            <v>西遠浄化センター</v>
          </cell>
          <cell r="M1171" t="str">
            <v>1</v>
          </cell>
          <cell r="N1171" t="str">
            <v>1</v>
          </cell>
          <cell r="Q1171">
            <v>31686</v>
          </cell>
          <cell r="R1171" t="str">
            <v>昭和</v>
          </cell>
          <cell r="S1171">
            <v>61</v>
          </cell>
          <cell r="T1171">
            <v>10</v>
          </cell>
          <cell r="AB1171">
            <v>280600</v>
          </cell>
          <cell r="AC1171" t="str">
            <v>馬込川下流水域</v>
          </cell>
          <cell r="AD1171" t="str">
            <v>Ｃ</v>
          </cell>
          <cell r="AF1171">
            <v>15</v>
          </cell>
          <cell r="AJ1171" t="str">
            <v>馬込川</v>
          </cell>
          <cell r="AQ1171" t="str">
            <v/>
          </cell>
          <cell r="AR1171" t="str">
            <v>標準活性汚泥法</v>
          </cell>
          <cell r="AS1171" t="str">
            <v>2200181001</v>
          </cell>
          <cell r="AT1171" t="str">
            <v/>
          </cell>
          <cell r="AU1171" t="str">
            <v>10</v>
          </cell>
          <cell r="AV1171" t="str">
            <v>10</v>
          </cell>
          <cell r="AW1171">
            <v>0</v>
          </cell>
          <cell r="AX1171">
            <v>0</v>
          </cell>
          <cell r="AY1171">
            <v>0</v>
          </cell>
          <cell r="AZ1171">
            <v>0</v>
          </cell>
          <cell r="BA1171">
            <v>0</v>
          </cell>
          <cell r="BD1171" t="str">
            <v/>
          </cell>
          <cell r="BE1171">
            <v>1</v>
          </cell>
          <cell r="BG1171" t="str">
            <v>1100</v>
          </cell>
        </row>
        <row r="1172">
          <cell r="B1172" t="str">
            <v>G220028106100100</v>
          </cell>
          <cell r="C1172" t="str">
            <v>22.静岡県</v>
          </cell>
          <cell r="D1172" t="str">
            <v>002</v>
          </cell>
          <cell r="E1172" t="str">
            <v>狩野川流域</v>
          </cell>
          <cell r="F1172" t="str">
            <v>81</v>
          </cell>
          <cell r="G1172" t="str">
            <v>流域</v>
          </cell>
          <cell r="H1172" t="str">
            <v>流域下水道</v>
          </cell>
          <cell r="I1172" t="str">
            <v/>
          </cell>
          <cell r="J1172" t="str">
            <v>001</v>
          </cell>
          <cell r="K1172" t="str">
            <v>狩野川東部浄化センター</v>
          </cell>
          <cell r="M1172" t="str">
            <v>1</v>
          </cell>
          <cell r="N1172" t="str">
            <v>1</v>
          </cell>
          <cell r="Q1172">
            <v>31321</v>
          </cell>
          <cell r="R1172" t="str">
            <v>昭和</v>
          </cell>
          <cell r="S1172">
            <v>60</v>
          </cell>
          <cell r="T1172">
            <v>10</v>
          </cell>
          <cell r="AB1172">
            <v>97200</v>
          </cell>
          <cell r="AC1172" t="str">
            <v>大場川</v>
          </cell>
          <cell r="AD1172" t="str">
            <v>Ｂ</v>
          </cell>
          <cell r="AE1172" t="str">
            <v>ロ</v>
          </cell>
          <cell r="AF1172">
            <v>15</v>
          </cell>
          <cell r="AK1172" t="str">
            <v>大場川（狩野川）</v>
          </cell>
          <cell r="AQ1172" t="str">
            <v/>
          </cell>
          <cell r="AR1172" t="str">
            <v>標準活性汚泥法</v>
          </cell>
          <cell r="AS1172" t="str">
            <v>2200281001</v>
          </cell>
          <cell r="AT1172" t="str">
            <v/>
          </cell>
          <cell r="AU1172" t="str">
            <v>10</v>
          </cell>
          <cell r="AV1172" t="str">
            <v>10</v>
          </cell>
          <cell r="AW1172">
            <v>0</v>
          </cell>
          <cell r="AX1172">
            <v>0</v>
          </cell>
          <cell r="AY1172">
            <v>0</v>
          </cell>
          <cell r="AZ1172">
            <v>0</v>
          </cell>
          <cell r="BA1172">
            <v>0</v>
          </cell>
          <cell r="BD1172" t="str">
            <v/>
          </cell>
          <cell r="BE1172">
            <v>1</v>
          </cell>
          <cell r="BG1172" t="str">
            <v>1100</v>
          </cell>
        </row>
        <row r="1173">
          <cell r="B1173" t="str">
            <v>G220028106100200</v>
          </cell>
          <cell r="C1173" t="str">
            <v>22.静岡県</v>
          </cell>
          <cell r="D1173" t="str">
            <v>002</v>
          </cell>
          <cell r="E1173" t="str">
            <v>狩野川流域</v>
          </cell>
          <cell r="F1173" t="str">
            <v>81</v>
          </cell>
          <cell r="G1173" t="str">
            <v>流域</v>
          </cell>
          <cell r="H1173" t="str">
            <v>流域下水道</v>
          </cell>
          <cell r="I1173" t="str">
            <v/>
          </cell>
          <cell r="J1173" t="str">
            <v>002</v>
          </cell>
          <cell r="K1173" t="str">
            <v>狩野川西部浄化センター</v>
          </cell>
          <cell r="M1173" t="str">
            <v>1</v>
          </cell>
          <cell r="N1173" t="str">
            <v>1</v>
          </cell>
          <cell r="Q1173">
            <v>34486</v>
          </cell>
          <cell r="R1173" t="str">
            <v>平成</v>
          </cell>
          <cell r="S1173">
            <v>6</v>
          </cell>
          <cell r="T1173">
            <v>6</v>
          </cell>
          <cell r="AB1173">
            <v>183900</v>
          </cell>
          <cell r="AC1173" t="str">
            <v>沼川下流水域</v>
          </cell>
          <cell r="AD1173" t="str">
            <v>Ｄ</v>
          </cell>
          <cell r="AE1173" t="str">
            <v>イ</v>
          </cell>
          <cell r="AF1173">
            <v>15</v>
          </cell>
          <cell r="AK1173" t="str">
            <v>沼川</v>
          </cell>
          <cell r="AQ1173" t="str">
            <v/>
          </cell>
          <cell r="AR1173" t="str">
            <v>標準活性汚泥法</v>
          </cell>
          <cell r="AS1173" t="str">
            <v>2200281002</v>
          </cell>
          <cell r="AT1173" t="str">
            <v/>
          </cell>
          <cell r="AU1173" t="str">
            <v>10</v>
          </cell>
          <cell r="AV1173" t="str">
            <v>10</v>
          </cell>
          <cell r="AW1173">
            <v>0</v>
          </cell>
          <cell r="AX1173">
            <v>0</v>
          </cell>
          <cell r="AY1173">
            <v>0</v>
          </cell>
          <cell r="AZ1173">
            <v>0</v>
          </cell>
          <cell r="BA1173">
            <v>0</v>
          </cell>
          <cell r="BD1173" t="str">
            <v/>
          </cell>
          <cell r="BE1173">
            <v>1</v>
          </cell>
          <cell r="BG1173" t="str">
            <v>1100</v>
          </cell>
        </row>
        <row r="1174">
          <cell r="B1174" t="str">
            <v>G220038106100100</v>
          </cell>
          <cell r="C1174" t="str">
            <v>22.静岡県</v>
          </cell>
          <cell r="D1174" t="str">
            <v>003</v>
          </cell>
          <cell r="E1174" t="str">
            <v>天竜川左岸流域</v>
          </cell>
          <cell r="F1174" t="str">
            <v>81</v>
          </cell>
          <cell r="G1174" t="str">
            <v>流域</v>
          </cell>
          <cell r="H1174" t="str">
            <v>流域下水道</v>
          </cell>
          <cell r="I1174" t="str">
            <v/>
          </cell>
          <cell r="J1174" t="str">
            <v>001</v>
          </cell>
          <cell r="K1174" t="str">
            <v>磐南浄化センター</v>
          </cell>
          <cell r="M1174" t="str">
            <v>1</v>
          </cell>
          <cell r="N1174" t="str">
            <v>1</v>
          </cell>
          <cell r="Q1174">
            <v>33025</v>
          </cell>
          <cell r="R1174" t="str">
            <v>平成</v>
          </cell>
          <cell r="S1174">
            <v>2</v>
          </cell>
          <cell r="T1174">
            <v>6</v>
          </cell>
          <cell r="AB1174">
            <v>130200</v>
          </cell>
          <cell r="AC1174" t="str">
            <v>ぼう僧川</v>
          </cell>
          <cell r="AD1174" t="str">
            <v>Ｃ</v>
          </cell>
          <cell r="AE1174" t="str">
            <v>イ</v>
          </cell>
          <cell r="AF1174">
            <v>15</v>
          </cell>
          <cell r="AJ1174" t="str">
            <v>旧ぼう僧川（太田川）</v>
          </cell>
          <cell r="AQ1174" t="str">
            <v/>
          </cell>
          <cell r="AR1174" t="str">
            <v>標準活性汚泥法</v>
          </cell>
          <cell r="AS1174" t="str">
            <v>2200381001</v>
          </cell>
          <cell r="AT1174" t="str">
            <v/>
          </cell>
          <cell r="AU1174" t="str">
            <v>10</v>
          </cell>
          <cell r="AV1174" t="str">
            <v>10</v>
          </cell>
          <cell r="AW1174">
            <v>0</v>
          </cell>
          <cell r="AX1174">
            <v>0</v>
          </cell>
          <cell r="AY1174">
            <v>0</v>
          </cell>
          <cell r="AZ1174">
            <v>0</v>
          </cell>
          <cell r="BA1174">
            <v>0</v>
          </cell>
          <cell r="BD1174" t="str">
            <v/>
          </cell>
          <cell r="BE1174">
            <v>1</v>
          </cell>
          <cell r="BG1174" t="str">
            <v>1100</v>
          </cell>
        </row>
        <row r="1175">
          <cell r="B1175" t="str">
            <v>G220048106100100</v>
          </cell>
          <cell r="C1175" t="str">
            <v>22.静岡県</v>
          </cell>
          <cell r="D1175" t="str">
            <v>004</v>
          </cell>
          <cell r="E1175" t="str">
            <v>静清流域</v>
          </cell>
          <cell r="F1175" t="str">
            <v>81</v>
          </cell>
          <cell r="G1175" t="str">
            <v>流域</v>
          </cell>
          <cell r="H1175" t="str">
            <v>流域下水道</v>
          </cell>
          <cell r="I1175" t="str">
            <v/>
          </cell>
          <cell r="J1175" t="str">
            <v>001</v>
          </cell>
          <cell r="K1175" t="str">
            <v>静清浄化センター</v>
          </cell>
          <cell r="M1175" t="str">
            <v>1</v>
          </cell>
          <cell r="N1175" t="str">
            <v>1</v>
          </cell>
          <cell r="P1175" t="str">
            <v>1</v>
          </cell>
          <cell r="Q1175">
            <v>35582</v>
          </cell>
          <cell r="R1175" t="str">
            <v>平成</v>
          </cell>
          <cell r="S1175">
            <v>9</v>
          </cell>
          <cell r="T1175">
            <v>6</v>
          </cell>
          <cell r="AB1175">
            <v>44500</v>
          </cell>
          <cell r="AC1175" t="str">
            <v>巴川水域</v>
          </cell>
          <cell r="AD1175" t="str">
            <v>Ｃ</v>
          </cell>
          <cell r="AE1175" t="str">
            <v>ハ</v>
          </cell>
          <cell r="AF1175">
            <v>15</v>
          </cell>
          <cell r="AJ1175" t="str">
            <v>巴川</v>
          </cell>
          <cell r="AQ1175" t="str">
            <v/>
          </cell>
          <cell r="AR1175" t="str">
            <v>標準活性汚泥法</v>
          </cell>
          <cell r="AS1175" t="str">
            <v>2200481001</v>
          </cell>
          <cell r="AT1175" t="str">
            <v/>
          </cell>
          <cell r="AU1175" t="str">
            <v>10</v>
          </cell>
          <cell r="AV1175" t="str">
            <v>10</v>
          </cell>
          <cell r="AW1175">
            <v>1</v>
          </cell>
          <cell r="AX1175">
            <v>0</v>
          </cell>
          <cell r="AY1175">
            <v>0</v>
          </cell>
          <cell r="AZ1175">
            <v>0</v>
          </cell>
          <cell r="BA1175">
            <v>0</v>
          </cell>
          <cell r="BD1175" t="str">
            <v/>
          </cell>
          <cell r="BE1175">
            <v>0</v>
          </cell>
          <cell r="BF1175" t="str">
            <v>静岡市単独に変更</v>
          </cell>
          <cell r="BG1175" t="str">
            <v>1101</v>
          </cell>
        </row>
        <row r="1176">
          <cell r="B1176" t="str">
            <v>G221000106100100</v>
          </cell>
          <cell r="C1176" t="str">
            <v>22.静岡県</v>
          </cell>
          <cell r="D1176" t="str">
            <v>100</v>
          </cell>
          <cell r="E1176" t="str">
            <v>静岡市</v>
          </cell>
          <cell r="F1176" t="str">
            <v>01</v>
          </cell>
          <cell r="G1176" t="str">
            <v>公共 単独</v>
          </cell>
          <cell r="H1176" t="str">
            <v>公共下水道</v>
          </cell>
          <cell r="I1176" t="str">
            <v>単独</v>
          </cell>
          <cell r="J1176" t="str">
            <v>001</v>
          </cell>
          <cell r="K1176" t="str">
            <v>高松浄化センター</v>
          </cell>
          <cell r="M1176" t="str">
            <v>1</v>
          </cell>
          <cell r="Q1176">
            <v>22221</v>
          </cell>
          <cell r="R1176" t="str">
            <v>昭和</v>
          </cell>
          <cell r="S1176">
            <v>35</v>
          </cell>
          <cell r="T1176">
            <v>11</v>
          </cell>
          <cell r="AB1176">
            <v>43580</v>
          </cell>
          <cell r="AC1176" t="str">
            <v>静岡</v>
          </cell>
          <cell r="AD1176" t="str">
            <v>Ｃ</v>
          </cell>
          <cell r="AE1176" t="str">
            <v>イ</v>
          </cell>
          <cell r="AF1176">
            <v>15</v>
          </cell>
          <cell r="AJ1176" t="str">
            <v>浜川</v>
          </cell>
          <cell r="AQ1176" t="str">
            <v/>
          </cell>
          <cell r="AR1176" t="str">
            <v>その他処理方法</v>
          </cell>
          <cell r="AS1176" t="str">
            <v>2210001001</v>
          </cell>
          <cell r="AT1176" t="str">
            <v/>
          </cell>
          <cell r="AU1176" t="str">
            <v>00</v>
          </cell>
          <cell r="AV1176" t="str">
            <v>00</v>
          </cell>
          <cell r="AW1176">
            <v>0</v>
          </cell>
          <cell r="AX1176">
            <v>0</v>
          </cell>
          <cell r="AY1176">
            <v>0</v>
          </cell>
          <cell r="AZ1176">
            <v>0</v>
          </cell>
          <cell r="BA1176">
            <v>0</v>
          </cell>
          <cell r="BD1176" t="str">
            <v/>
          </cell>
          <cell r="BE1176">
            <v>1</v>
          </cell>
          <cell r="BG1176" t="str">
            <v>1000</v>
          </cell>
        </row>
        <row r="1177">
          <cell r="B1177" t="str">
            <v>G221000106100200</v>
          </cell>
          <cell r="C1177" t="str">
            <v>22.静岡県</v>
          </cell>
          <cell r="D1177" t="str">
            <v>100</v>
          </cell>
          <cell r="E1177" t="str">
            <v>静岡市</v>
          </cell>
          <cell r="F1177" t="str">
            <v>01</v>
          </cell>
          <cell r="G1177" t="str">
            <v>公共 単独</v>
          </cell>
          <cell r="H1177" t="str">
            <v>公共下水道</v>
          </cell>
          <cell r="I1177" t="str">
            <v>単独</v>
          </cell>
          <cell r="J1177" t="str">
            <v>002</v>
          </cell>
          <cell r="K1177" t="str">
            <v>清水南部浄化センター</v>
          </cell>
          <cell r="M1177" t="str">
            <v>1</v>
          </cell>
          <cell r="N1177" t="str">
            <v>1</v>
          </cell>
          <cell r="Q1177">
            <v>26390</v>
          </cell>
          <cell r="R1177" t="str">
            <v>昭和</v>
          </cell>
          <cell r="S1177">
            <v>47</v>
          </cell>
          <cell r="T1177">
            <v>4</v>
          </cell>
          <cell r="AB1177">
            <v>26380</v>
          </cell>
          <cell r="AC1177" t="str">
            <v>奥駿河湾</v>
          </cell>
          <cell r="AD1177" t="str">
            <v>Ｂ</v>
          </cell>
          <cell r="AE1177" t="str">
            <v>イ</v>
          </cell>
          <cell r="AF1177">
            <v>15</v>
          </cell>
          <cell r="AI1177" t="str">
            <v>清水港</v>
          </cell>
          <cell r="AQ1177" t="str">
            <v/>
          </cell>
          <cell r="AR1177" t="str">
            <v>標準活性汚泥法</v>
          </cell>
          <cell r="AS1177" t="str">
            <v>2210001002</v>
          </cell>
          <cell r="AT1177" t="str">
            <v/>
          </cell>
          <cell r="AU1177" t="str">
            <v>10</v>
          </cell>
          <cell r="AV1177" t="str">
            <v>10</v>
          </cell>
          <cell r="AW1177">
            <v>0</v>
          </cell>
          <cell r="AX1177">
            <v>0</v>
          </cell>
          <cell r="AY1177">
            <v>0</v>
          </cell>
          <cell r="AZ1177">
            <v>0</v>
          </cell>
          <cell r="BA1177">
            <v>0</v>
          </cell>
          <cell r="BD1177" t="str">
            <v/>
          </cell>
          <cell r="BE1177">
            <v>1</v>
          </cell>
          <cell r="BG1177" t="str">
            <v>1100</v>
          </cell>
        </row>
        <row r="1178">
          <cell r="B1178" t="str">
            <v>G221000106100300</v>
          </cell>
          <cell r="C1178" t="str">
            <v>22.静岡県</v>
          </cell>
          <cell r="D1178" t="str">
            <v>100</v>
          </cell>
          <cell r="E1178" t="str">
            <v>静岡市</v>
          </cell>
          <cell r="F1178" t="str">
            <v>01</v>
          </cell>
          <cell r="G1178" t="str">
            <v>公共 単独</v>
          </cell>
          <cell r="H1178" t="str">
            <v>公共下水道</v>
          </cell>
          <cell r="I1178" t="str">
            <v>単独</v>
          </cell>
          <cell r="J1178" t="str">
            <v>003</v>
          </cell>
          <cell r="K1178" t="str">
            <v>城北浄化センター</v>
          </cell>
          <cell r="M1178" t="str">
            <v>1</v>
          </cell>
          <cell r="N1178" t="str">
            <v>1</v>
          </cell>
          <cell r="P1178" t="str">
            <v>1</v>
          </cell>
          <cell r="Q1178">
            <v>28216</v>
          </cell>
          <cell r="R1178" t="str">
            <v>昭和</v>
          </cell>
          <cell r="S1178">
            <v>52</v>
          </cell>
          <cell r="T1178">
            <v>4</v>
          </cell>
          <cell r="AB1178">
            <v>59280</v>
          </cell>
          <cell r="AC1178" t="str">
            <v>奥駿河湾</v>
          </cell>
          <cell r="AD1178" t="str">
            <v>Ｃ</v>
          </cell>
          <cell r="AE1178" t="str">
            <v>ハ</v>
          </cell>
          <cell r="AF1178">
            <v>15</v>
          </cell>
          <cell r="AJ1178" t="str">
            <v>巴川</v>
          </cell>
          <cell r="AQ1178" t="str">
            <v/>
          </cell>
          <cell r="AR1178" t="str">
            <v>標準活性汚泥法</v>
          </cell>
          <cell r="AS1178" t="str">
            <v>2210001003</v>
          </cell>
          <cell r="AT1178" t="str">
            <v/>
          </cell>
          <cell r="AU1178" t="str">
            <v>10</v>
          </cell>
          <cell r="AV1178" t="str">
            <v>10</v>
          </cell>
          <cell r="AW1178">
            <v>1</v>
          </cell>
          <cell r="AX1178">
            <v>0</v>
          </cell>
          <cell r="AY1178">
            <v>0</v>
          </cell>
          <cell r="AZ1178">
            <v>0</v>
          </cell>
          <cell r="BA1178">
            <v>0</v>
          </cell>
          <cell r="BD1178" t="str">
            <v/>
          </cell>
          <cell r="BE1178">
            <v>1</v>
          </cell>
          <cell r="BG1178" t="str">
            <v>1101</v>
          </cell>
        </row>
        <row r="1179">
          <cell r="B1179" t="str">
            <v>G221000106100400</v>
          </cell>
          <cell r="C1179" t="str">
            <v>22.静岡県</v>
          </cell>
          <cell r="D1179" t="str">
            <v>100</v>
          </cell>
          <cell r="E1179" t="str">
            <v>静岡市</v>
          </cell>
          <cell r="F1179" t="str">
            <v>01</v>
          </cell>
          <cell r="G1179" t="str">
            <v>公共 単独</v>
          </cell>
          <cell r="H1179" t="str">
            <v>公共下水道</v>
          </cell>
          <cell r="I1179" t="str">
            <v>単独</v>
          </cell>
          <cell r="J1179" t="str">
            <v>004</v>
          </cell>
          <cell r="K1179" t="str">
            <v>清水北部浄化センター</v>
          </cell>
          <cell r="M1179" t="str">
            <v>1</v>
          </cell>
          <cell r="N1179" t="str">
            <v>1</v>
          </cell>
          <cell r="Q1179">
            <v>29891</v>
          </cell>
          <cell r="R1179" t="str">
            <v>昭和</v>
          </cell>
          <cell r="S1179">
            <v>56</v>
          </cell>
          <cell r="T1179">
            <v>11</v>
          </cell>
          <cell r="AB1179">
            <v>25530</v>
          </cell>
          <cell r="AC1179" t="str">
            <v>奥駿河湾</v>
          </cell>
          <cell r="AD1179" t="str">
            <v>Ｂ</v>
          </cell>
          <cell r="AE1179" t="str">
            <v>イ</v>
          </cell>
          <cell r="AF1179">
            <v>15</v>
          </cell>
          <cell r="AI1179" t="str">
            <v>清水港</v>
          </cell>
          <cell r="AQ1179" t="str">
            <v/>
          </cell>
          <cell r="AR1179" t="str">
            <v>標準活性汚泥法</v>
          </cell>
          <cell r="AS1179" t="str">
            <v>2210001004</v>
          </cell>
          <cell r="AT1179" t="str">
            <v/>
          </cell>
          <cell r="AU1179" t="str">
            <v>10</v>
          </cell>
          <cell r="AV1179" t="str">
            <v>10</v>
          </cell>
          <cell r="AW1179">
            <v>0</v>
          </cell>
          <cell r="AX1179">
            <v>0</v>
          </cell>
          <cell r="AY1179">
            <v>0</v>
          </cell>
          <cell r="AZ1179">
            <v>0</v>
          </cell>
          <cell r="BA1179">
            <v>0</v>
          </cell>
          <cell r="BD1179" t="str">
            <v/>
          </cell>
          <cell r="BE1179">
            <v>1</v>
          </cell>
          <cell r="BG1179" t="str">
            <v>1100</v>
          </cell>
        </row>
        <row r="1180">
          <cell r="B1180" t="str">
            <v>G221000106100500</v>
          </cell>
          <cell r="C1180" t="str">
            <v>22.静岡県</v>
          </cell>
          <cell r="D1180" t="str">
            <v>100</v>
          </cell>
          <cell r="E1180" t="str">
            <v>静岡市</v>
          </cell>
          <cell r="F1180" t="str">
            <v>01</v>
          </cell>
          <cell r="G1180" t="str">
            <v>公共 単独</v>
          </cell>
          <cell r="H1180" t="str">
            <v>公共下水道</v>
          </cell>
          <cell r="I1180" t="str">
            <v>単独</v>
          </cell>
          <cell r="J1180" t="str">
            <v>005</v>
          </cell>
          <cell r="K1180" t="str">
            <v>中島浄化センター</v>
          </cell>
          <cell r="M1180" t="str">
            <v>1</v>
          </cell>
          <cell r="N1180" t="str">
            <v>1</v>
          </cell>
          <cell r="Q1180">
            <v>31321</v>
          </cell>
          <cell r="R1180" t="str">
            <v>昭和</v>
          </cell>
          <cell r="S1180">
            <v>60</v>
          </cell>
          <cell r="T1180">
            <v>10</v>
          </cell>
          <cell r="AB1180">
            <v>160770</v>
          </cell>
          <cell r="AC1180" t="str">
            <v>静岡</v>
          </cell>
          <cell r="AD1180" t="str">
            <v>Ａ</v>
          </cell>
          <cell r="AE1180" t="str">
            <v>イ</v>
          </cell>
          <cell r="AF1180">
            <v>15</v>
          </cell>
          <cell r="AK1180" t="str">
            <v>安倍川</v>
          </cell>
          <cell r="AQ1180" t="str">
            <v/>
          </cell>
          <cell r="AR1180" t="str">
            <v>標準活性汚泥法</v>
          </cell>
          <cell r="AS1180" t="str">
            <v>2210001005</v>
          </cell>
          <cell r="AT1180" t="str">
            <v/>
          </cell>
          <cell r="AU1180" t="str">
            <v>10</v>
          </cell>
          <cell r="AV1180" t="str">
            <v>10</v>
          </cell>
          <cell r="AW1180">
            <v>0</v>
          </cell>
          <cell r="AX1180">
            <v>0</v>
          </cell>
          <cell r="AY1180">
            <v>0</v>
          </cell>
          <cell r="AZ1180">
            <v>0</v>
          </cell>
          <cell r="BA1180">
            <v>0</v>
          </cell>
          <cell r="BD1180" t="str">
            <v/>
          </cell>
          <cell r="BE1180">
            <v>1</v>
          </cell>
          <cell r="BG1180" t="str">
            <v>1100</v>
          </cell>
        </row>
        <row r="1181">
          <cell r="B1181" t="str">
            <v>G221000106100600</v>
          </cell>
          <cell r="C1181" t="str">
            <v>22.静岡県</v>
          </cell>
          <cell r="D1181" t="str">
            <v>100</v>
          </cell>
          <cell r="E1181" t="str">
            <v>静岡市</v>
          </cell>
          <cell r="F1181" t="str">
            <v>01</v>
          </cell>
          <cell r="G1181" t="str">
            <v>公共 単独</v>
          </cell>
          <cell r="H1181" t="str">
            <v>公共下水道</v>
          </cell>
          <cell r="I1181" t="str">
            <v>単独</v>
          </cell>
          <cell r="J1181" t="str">
            <v>006</v>
          </cell>
          <cell r="K1181" t="str">
            <v>長田浄化センター</v>
          </cell>
          <cell r="M1181" t="str">
            <v>1</v>
          </cell>
          <cell r="Q1181">
            <v>37408</v>
          </cell>
          <cell r="R1181" t="str">
            <v>平成</v>
          </cell>
          <cell r="S1181">
            <v>14</v>
          </cell>
          <cell r="T1181">
            <v>6</v>
          </cell>
          <cell r="AB1181">
            <v>34600</v>
          </cell>
          <cell r="AC1181" t="str">
            <v>静岡</v>
          </cell>
          <cell r="AD1181" t="str">
            <v>Ｃ</v>
          </cell>
          <cell r="AE1181" t="str">
            <v>ハ</v>
          </cell>
          <cell r="AF1181">
            <v>15</v>
          </cell>
          <cell r="AJ1181" t="str">
            <v>丸子川</v>
          </cell>
          <cell r="AQ1181" t="str">
            <v/>
          </cell>
          <cell r="AR1181" t="str">
            <v>標準活性汚泥法</v>
          </cell>
          <cell r="AS1181" t="str">
            <v>2210001006</v>
          </cell>
          <cell r="AT1181" t="str">
            <v/>
          </cell>
          <cell r="AU1181" t="str">
            <v>00</v>
          </cell>
          <cell r="AV1181" t="str">
            <v>00</v>
          </cell>
          <cell r="AW1181">
            <v>0</v>
          </cell>
          <cell r="AX1181">
            <v>0</v>
          </cell>
          <cell r="AY1181">
            <v>0</v>
          </cell>
          <cell r="AZ1181">
            <v>0</v>
          </cell>
          <cell r="BA1181">
            <v>0</v>
          </cell>
          <cell r="BD1181" t="str">
            <v/>
          </cell>
          <cell r="BE1181">
            <v>1</v>
          </cell>
          <cell r="BG1181" t="str">
            <v>1000</v>
          </cell>
        </row>
        <row r="1182">
          <cell r="B1182" t="str">
            <v>G221300106100100</v>
          </cell>
          <cell r="C1182" t="str">
            <v>22.静岡県</v>
          </cell>
          <cell r="D1182" t="str">
            <v>130</v>
          </cell>
          <cell r="E1182" t="str">
            <v>浜松市</v>
          </cell>
          <cell r="F1182" t="str">
            <v>01</v>
          </cell>
          <cell r="G1182" t="str">
            <v>公共 単独</v>
          </cell>
          <cell r="H1182" t="str">
            <v>公共下水道</v>
          </cell>
          <cell r="I1182" t="str">
            <v>単独</v>
          </cell>
          <cell r="J1182" t="str">
            <v>001</v>
          </cell>
          <cell r="K1182" t="str">
            <v>中部浄化センター</v>
          </cell>
          <cell r="M1182" t="str">
            <v>1</v>
          </cell>
          <cell r="N1182" t="str">
            <v>1</v>
          </cell>
          <cell r="Q1182">
            <v>24381</v>
          </cell>
          <cell r="R1182" t="str">
            <v>昭和</v>
          </cell>
          <cell r="S1182">
            <v>41</v>
          </cell>
          <cell r="T1182">
            <v>10</v>
          </cell>
          <cell r="AB1182">
            <v>95371</v>
          </cell>
          <cell r="AC1182" t="str">
            <v>馬込川</v>
          </cell>
          <cell r="AD1182" t="str">
            <v>Ｃ</v>
          </cell>
          <cell r="AF1182">
            <v>15</v>
          </cell>
          <cell r="AJ1182" t="str">
            <v>馬込川</v>
          </cell>
          <cell r="AQ1182" t="str">
            <v/>
          </cell>
          <cell r="AR1182" t="str">
            <v>標準活性汚泥法</v>
          </cell>
          <cell r="AS1182" t="str">
            <v>2213001001</v>
          </cell>
          <cell r="AT1182" t="str">
            <v/>
          </cell>
          <cell r="AU1182" t="str">
            <v>10</v>
          </cell>
          <cell r="AV1182" t="str">
            <v>10</v>
          </cell>
          <cell r="AW1182">
            <v>0</v>
          </cell>
          <cell r="AX1182">
            <v>0</v>
          </cell>
          <cell r="AY1182">
            <v>0</v>
          </cell>
          <cell r="AZ1182">
            <v>0</v>
          </cell>
          <cell r="BA1182">
            <v>0</v>
          </cell>
          <cell r="BD1182" t="str">
            <v/>
          </cell>
          <cell r="BE1182">
            <v>1</v>
          </cell>
          <cell r="BG1182" t="str">
            <v>1100</v>
          </cell>
        </row>
        <row r="1183">
          <cell r="B1183" t="str">
            <v>G221300106100200</v>
          </cell>
          <cell r="C1183" t="str">
            <v>22.静岡県</v>
          </cell>
          <cell r="D1183" t="str">
            <v>130</v>
          </cell>
          <cell r="E1183" t="str">
            <v>浜松市</v>
          </cell>
          <cell r="F1183" t="str">
            <v>01</v>
          </cell>
          <cell r="G1183" t="str">
            <v>公共 単独</v>
          </cell>
          <cell r="H1183" t="str">
            <v>公共下水道</v>
          </cell>
          <cell r="I1183" t="str">
            <v>単独</v>
          </cell>
          <cell r="J1183" t="str">
            <v>002</v>
          </cell>
          <cell r="K1183" t="str">
            <v>舘山寺浄化センター</v>
          </cell>
          <cell r="M1183" t="str">
            <v>1</v>
          </cell>
          <cell r="N1183" t="str">
            <v>1</v>
          </cell>
          <cell r="P1183" t="str">
            <v>1</v>
          </cell>
          <cell r="Q1183">
            <v>31959</v>
          </cell>
          <cell r="R1183" t="str">
            <v>昭和</v>
          </cell>
          <cell r="S1183">
            <v>62</v>
          </cell>
          <cell r="T1183">
            <v>7</v>
          </cell>
          <cell r="AB1183">
            <v>28491</v>
          </cell>
          <cell r="AC1183" t="str">
            <v>浜名湖</v>
          </cell>
          <cell r="AD1183" t="str">
            <v>Ａ</v>
          </cell>
          <cell r="AF1183">
            <v>5</v>
          </cell>
          <cell r="AG1183">
            <v>10</v>
          </cell>
          <cell r="AH1183">
            <v>2</v>
          </cell>
          <cell r="AJ1183" t="str">
            <v>舘山寺排水路（浜名湖）</v>
          </cell>
          <cell r="AQ1183" t="str">
            <v/>
          </cell>
          <cell r="AR1183" t="str">
            <v>硝化内生脱窒法</v>
          </cell>
          <cell r="AS1183" t="str">
            <v>2213001002</v>
          </cell>
          <cell r="AT1183" t="str">
            <v/>
          </cell>
          <cell r="AU1183" t="str">
            <v>10</v>
          </cell>
          <cell r="AV1183" t="str">
            <v>10</v>
          </cell>
          <cell r="AW1183">
            <v>1</v>
          </cell>
          <cell r="AX1183">
            <v>0</v>
          </cell>
          <cell r="AY1183">
            <v>0</v>
          </cell>
          <cell r="AZ1183">
            <v>0</v>
          </cell>
          <cell r="BA1183">
            <v>0</v>
          </cell>
          <cell r="BD1183" t="str">
            <v/>
          </cell>
          <cell r="BE1183">
            <v>1</v>
          </cell>
          <cell r="BG1183" t="str">
            <v>1101</v>
          </cell>
        </row>
        <row r="1184">
          <cell r="B1184" t="str">
            <v>G221300106100300</v>
          </cell>
          <cell r="C1184" t="str">
            <v>22.静岡県</v>
          </cell>
          <cell r="D1184" t="str">
            <v>130</v>
          </cell>
          <cell r="E1184" t="str">
            <v>浜松市</v>
          </cell>
          <cell r="F1184" t="str">
            <v>01</v>
          </cell>
          <cell r="G1184" t="str">
            <v>公共 単独</v>
          </cell>
          <cell r="H1184" t="str">
            <v>公共下水道</v>
          </cell>
          <cell r="I1184" t="str">
            <v>単独</v>
          </cell>
          <cell r="J1184" t="str">
            <v>003</v>
          </cell>
          <cell r="K1184" t="str">
            <v>井伊谷浄化センター</v>
          </cell>
          <cell r="M1184" t="str">
            <v>1</v>
          </cell>
          <cell r="N1184" t="str">
            <v>1</v>
          </cell>
          <cell r="Q1184">
            <v>35339</v>
          </cell>
          <cell r="R1184" t="str">
            <v>平成</v>
          </cell>
          <cell r="S1184">
            <v>8</v>
          </cell>
          <cell r="T1184">
            <v>10</v>
          </cell>
          <cell r="AB1184">
            <v>9227</v>
          </cell>
          <cell r="AC1184" t="str">
            <v>浜名湖</v>
          </cell>
          <cell r="AE1184" t="str">
            <v>イ</v>
          </cell>
          <cell r="AF1184">
            <v>6</v>
          </cell>
          <cell r="AG1184">
            <v>10</v>
          </cell>
          <cell r="AH1184">
            <v>1</v>
          </cell>
          <cell r="AJ1184" t="str">
            <v>井伊谷川</v>
          </cell>
          <cell r="AQ1184" t="str">
            <v/>
          </cell>
          <cell r="AR1184" t="str">
            <v>その他処理方法</v>
          </cell>
          <cell r="AS1184" t="str">
            <v>2213001003</v>
          </cell>
          <cell r="AT1184" t="str">
            <v/>
          </cell>
          <cell r="AU1184" t="str">
            <v>10</v>
          </cell>
          <cell r="AV1184" t="str">
            <v>10</v>
          </cell>
          <cell r="AW1184">
            <v>0</v>
          </cell>
          <cell r="AX1184">
            <v>0</v>
          </cell>
          <cell r="AY1184">
            <v>0</v>
          </cell>
          <cell r="AZ1184">
            <v>0</v>
          </cell>
          <cell r="BA1184">
            <v>0</v>
          </cell>
          <cell r="BD1184" t="str">
            <v/>
          </cell>
          <cell r="BE1184">
            <v>1</v>
          </cell>
          <cell r="BG1184" t="str">
            <v>1100</v>
          </cell>
        </row>
        <row r="1185">
          <cell r="B1185" t="str">
            <v>G221300106100400</v>
          </cell>
          <cell r="C1185" t="str">
            <v>22.静岡県</v>
          </cell>
          <cell r="D1185" t="str">
            <v>130</v>
          </cell>
          <cell r="E1185" t="str">
            <v>浜松市</v>
          </cell>
          <cell r="F1185" t="str">
            <v>01</v>
          </cell>
          <cell r="G1185" t="str">
            <v>公共 単独</v>
          </cell>
          <cell r="H1185" t="str">
            <v>公共下水道</v>
          </cell>
          <cell r="I1185" t="str">
            <v>単独</v>
          </cell>
          <cell r="J1185" t="str">
            <v>004</v>
          </cell>
          <cell r="K1185" t="str">
            <v>細江浄化センター</v>
          </cell>
          <cell r="M1185" t="str">
            <v>1</v>
          </cell>
          <cell r="N1185" t="str">
            <v>1</v>
          </cell>
          <cell r="Q1185">
            <v>36161</v>
          </cell>
          <cell r="R1185" t="str">
            <v>平成</v>
          </cell>
          <cell r="S1185">
            <v>11</v>
          </cell>
          <cell r="T1185">
            <v>1</v>
          </cell>
          <cell r="AB1185">
            <v>13700</v>
          </cell>
          <cell r="AC1185" t="str">
            <v>浜名湖</v>
          </cell>
          <cell r="AD1185" t="str">
            <v>Ａ</v>
          </cell>
          <cell r="AE1185" t="str">
            <v>イ</v>
          </cell>
          <cell r="AF1185">
            <v>6</v>
          </cell>
          <cell r="AG1185">
            <v>10</v>
          </cell>
          <cell r="AH1185">
            <v>1</v>
          </cell>
          <cell r="AJ1185" t="str">
            <v>都田川</v>
          </cell>
          <cell r="AQ1185" t="str">
            <v/>
          </cell>
          <cell r="AR1185" t="str">
            <v>循環式硝化脱窒法</v>
          </cell>
          <cell r="AS1185" t="str">
            <v>2213001004</v>
          </cell>
          <cell r="AT1185" t="str">
            <v/>
          </cell>
          <cell r="AU1185" t="str">
            <v>10</v>
          </cell>
          <cell r="AV1185" t="str">
            <v>10</v>
          </cell>
          <cell r="AW1185">
            <v>0</v>
          </cell>
          <cell r="AX1185">
            <v>0</v>
          </cell>
          <cell r="AY1185">
            <v>0</v>
          </cell>
          <cell r="AZ1185">
            <v>0</v>
          </cell>
          <cell r="BA1185">
            <v>0</v>
          </cell>
          <cell r="BD1185" t="str">
            <v/>
          </cell>
          <cell r="BE1185">
            <v>1</v>
          </cell>
          <cell r="BG1185" t="str">
            <v>1100</v>
          </cell>
        </row>
        <row r="1186">
          <cell r="B1186" t="str">
            <v>G221300106100500</v>
          </cell>
          <cell r="C1186" t="str">
            <v>22.静岡県</v>
          </cell>
          <cell r="D1186" t="str">
            <v>130</v>
          </cell>
          <cell r="E1186" t="str">
            <v>浜松市</v>
          </cell>
          <cell r="F1186" t="str">
            <v>01</v>
          </cell>
          <cell r="G1186" t="str">
            <v>公共 単独</v>
          </cell>
          <cell r="H1186" t="str">
            <v>公共下水道</v>
          </cell>
          <cell r="I1186" t="str">
            <v>単独</v>
          </cell>
          <cell r="J1186" t="str">
            <v>005</v>
          </cell>
          <cell r="K1186" t="str">
            <v>三ヶ日浄化センター</v>
          </cell>
          <cell r="M1186" t="str">
            <v>1</v>
          </cell>
          <cell r="N1186" t="str">
            <v>1</v>
          </cell>
          <cell r="Q1186">
            <v>38991</v>
          </cell>
          <cell r="R1186" t="str">
            <v>平成</v>
          </cell>
          <cell r="S1186">
            <v>18</v>
          </cell>
          <cell r="T1186">
            <v>10</v>
          </cell>
          <cell r="AB1186">
            <v>25573</v>
          </cell>
          <cell r="AC1186" t="str">
            <v>浜名湖</v>
          </cell>
          <cell r="AD1186" t="str">
            <v>Ａ</v>
          </cell>
          <cell r="AE1186" t="str">
            <v>イ</v>
          </cell>
          <cell r="AF1186">
            <v>6</v>
          </cell>
          <cell r="AG1186">
            <v>10</v>
          </cell>
          <cell r="AH1186">
            <v>1</v>
          </cell>
          <cell r="AJ1186" t="str">
            <v>釣橋川</v>
          </cell>
          <cell r="AQ1186" t="str">
            <v/>
          </cell>
          <cell r="AR1186" t="str">
            <v>高度処理オキシディションディッチ法</v>
          </cell>
          <cell r="AS1186" t="str">
            <v>2213001005</v>
          </cell>
          <cell r="AT1186" t="str">
            <v/>
          </cell>
          <cell r="AU1186" t="str">
            <v>10</v>
          </cell>
          <cell r="AV1186" t="str">
            <v>10</v>
          </cell>
          <cell r="AW1186">
            <v>0</v>
          </cell>
          <cell r="AX1186">
            <v>0</v>
          </cell>
          <cell r="AY1186">
            <v>0</v>
          </cell>
          <cell r="AZ1186">
            <v>0</v>
          </cell>
          <cell r="BA1186">
            <v>0</v>
          </cell>
          <cell r="BD1186" t="str">
            <v/>
          </cell>
          <cell r="BE1186">
            <v>1</v>
          </cell>
          <cell r="BG1186" t="str">
            <v>1100</v>
          </cell>
        </row>
        <row r="1187">
          <cell r="B1187" t="str">
            <v>G221300206100600</v>
          </cell>
          <cell r="C1187" t="str">
            <v>22.静岡県</v>
          </cell>
          <cell r="D1187" t="str">
            <v>130</v>
          </cell>
          <cell r="E1187" t="str">
            <v>浜松市</v>
          </cell>
          <cell r="F1187" t="str">
            <v>02</v>
          </cell>
          <cell r="G1187" t="str">
            <v>特環 単独</v>
          </cell>
          <cell r="H1187" t="str">
            <v>特定環境保全公共下水道</v>
          </cell>
          <cell r="I1187" t="str">
            <v>単独</v>
          </cell>
          <cell r="J1187" t="str">
            <v>006</v>
          </cell>
          <cell r="K1187" t="str">
            <v>湖東浄化センター</v>
          </cell>
          <cell r="M1187" t="str">
            <v>1</v>
          </cell>
          <cell r="N1187" t="str">
            <v>1</v>
          </cell>
          <cell r="Q1187">
            <v>30195</v>
          </cell>
          <cell r="R1187" t="str">
            <v>昭和</v>
          </cell>
          <cell r="S1187">
            <v>57</v>
          </cell>
          <cell r="T1187">
            <v>9</v>
          </cell>
          <cell r="AB1187">
            <v>12001</v>
          </cell>
          <cell r="AC1187" t="str">
            <v>浜名湖</v>
          </cell>
          <cell r="AD1187" t="str">
            <v>Ｂ</v>
          </cell>
          <cell r="AF1187">
            <v>5</v>
          </cell>
          <cell r="AG1187">
            <v>10</v>
          </cell>
          <cell r="AH1187">
            <v>2</v>
          </cell>
          <cell r="AJ1187" t="str">
            <v>湖東団地幹線排水路（花川）</v>
          </cell>
          <cell r="AQ1187" t="str">
            <v/>
          </cell>
          <cell r="AR1187" t="str">
            <v>硝化内生脱窒法</v>
          </cell>
          <cell r="AS1187" t="str">
            <v>2213002006</v>
          </cell>
          <cell r="AT1187" t="str">
            <v/>
          </cell>
          <cell r="AU1187" t="str">
            <v>10</v>
          </cell>
          <cell r="AV1187" t="str">
            <v>10</v>
          </cell>
          <cell r="AW1187">
            <v>0</v>
          </cell>
          <cell r="AX1187">
            <v>0</v>
          </cell>
          <cell r="AY1187">
            <v>0</v>
          </cell>
          <cell r="AZ1187">
            <v>0</v>
          </cell>
          <cell r="BA1187">
            <v>0</v>
          </cell>
          <cell r="BD1187" t="str">
            <v/>
          </cell>
          <cell r="BE1187">
            <v>1</v>
          </cell>
          <cell r="BG1187" t="str">
            <v>1100</v>
          </cell>
        </row>
        <row r="1188">
          <cell r="B1188" t="str">
            <v>G221300206100700</v>
          </cell>
          <cell r="C1188" t="str">
            <v>22.静岡県</v>
          </cell>
          <cell r="D1188" t="str">
            <v>130</v>
          </cell>
          <cell r="E1188" t="str">
            <v>浜松市</v>
          </cell>
          <cell r="F1188" t="str">
            <v>02</v>
          </cell>
          <cell r="G1188" t="str">
            <v>特環 単独</v>
          </cell>
          <cell r="H1188" t="str">
            <v>特定環境保全公共下水道</v>
          </cell>
          <cell r="I1188" t="str">
            <v>単独</v>
          </cell>
          <cell r="J1188" t="str">
            <v>007</v>
          </cell>
          <cell r="K1188" t="str">
            <v>浦川浄化センター</v>
          </cell>
          <cell r="M1188" t="str">
            <v>1</v>
          </cell>
          <cell r="N1188" t="str">
            <v>1</v>
          </cell>
          <cell r="Q1188">
            <v>35156</v>
          </cell>
          <cell r="R1188" t="str">
            <v>平成</v>
          </cell>
          <cell r="S1188">
            <v>8</v>
          </cell>
          <cell r="T1188">
            <v>4</v>
          </cell>
          <cell r="AB1188">
            <v>3900</v>
          </cell>
          <cell r="AC1188" t="str">
            <v>天竜川</v>
          </cell>
          <cell r="AD1188" t="str">
            <v>ＡＡ</v>
          </cell>
          <cell r="AE1188" t="str">
            <v>イ</v>
          </cell>
          <cell r="AF1188">
            <v>15</v>
          </cell>
          <cell r="AK1188" t="str">
            <v>大千瀬川</v>
          </cell>
          <cell r="AQ1188" t="str">
            <v/>
          </cell>
          <cell r="AR1188" t="str">
            <v>オキシディションディッチ法</v>
          </cell>
          <cell r="AS1188" t="str">
            <v>2213002007</v>
          </cell>
          <cell r="AT1188" t="str">
            <v/>
          </cell>
          <cell r="AU1188" t="str">
            <v>10</v>
          </cell>
          <cell r="AV1188" t="str">
            <v>10</v>
          </cell>
          <cell r="AW1188">
            <v>0</v>
          </cell>
          <cell r="AX1188">
            <v>0</v>
          </cell>
          <cell r="AY1188">
            <v>0</v>
          </cell>
          <cell r="AZ1188">
            <v>0</v>
          </cell>
          <cell r="BA1188">
            <v>0</v>
          </cell>
          <cell r="BD1188" t="str">
            <v/>
          </cell>
          <cell r="BE1188">
            <v>1</v>
          </cell>
          <cell r="BG1188" t="str">
            <v>1100</v>
          </cell>
        </row>
        <row r="1189">
          <cell r="B1189" t="str">
            <v>G221300206100800</v>
          </cell>
          <cell r="C1189" t="str">
            <v>22.静岡県</v>
          </cell>
          <cell r="D1189" t="str">
            <v>130</v>
          </cell>
          <cell r="E1189" t="str">
            <v>浜松市</v>
          </cell>
          <cell r="F1189" t="str">
            <v>02</v>
          </cell>
          <cell r="G1189" t="str">
            <v>特環 単独</v>
          </cell>
          <cell r="H1189" t="str">
            <v>特定環境保全公共下水道</v>
          </cell>
          <cell r="I1189" t="str">
            <v>単独</v>
          </cell>
          <cell r="J1189" t="str">
            <v>008</v>
          </cell>
          <cell r="K1189" t="str">
            <v>気田浄化センター</v>
          </cell>
          <cell r="M1189" t="str">
            <v>1</v>
          </cell>
          <cell r="N1189" t="str">
            <v>1</v>
          </cell>
          <cell r="Q1189">
            <v>36831</v>
          </cell>
          <cell r="R1189" t="str">
            <v>平成</v>
          </cell>
          <cell r="S1189">
            <v>12</v>
          </cell>
          <cell r="T1189">
            <v>11</v>
          </cell>
          <cell r="AB1189">
            <v>4821</v>
          </cell>
          <cell r="AC1189" t="str">
            <v>天竜川</v>
          </cell>
          <cell r="AD1189" t="str">
            <v>ＡＡ</v>
          </cell>
          <cell r="AF1189">
            <v>15</v>
          </cell>
          <cell r="AK1189" t="str">
            <v>気田川</v>
          </cell>
          <cell r="AL1189" t="str">
            <v>若身簡易水道</v>
          </cell>
          <cell r="AM1189">
            <v>1.2</v>
          </cell>
          <cell r="AN1189">
            <v>4</v>
          </cell>
          <cell r="AO1189" t="str">
            <v>浜松市</v>
          </cell>
          <cell r="AQ1189" t="str">
            <v/>
          </cell>
          <cell r="AR1189" t="str">
            <v>オキシディションディッチ法</v>
          </cell>
          <cell r="AS1189" t="str">
            <v>2213002008</v>
          </cell>
          <cell r="AT1189" t="str">
            <v/>
          </cell>
          <cell r="AU1189" t="str">
            <v>10</v>
          </cell>
          <cell r="AV1189" t="str">
            <v>10</v>
          </cell>
          <cell r="AW1189">
            <v>0</v>
          </cell>
          <cell r="AX1189">
            <v>0</v>
          </cell>
          <cell r="AY1189">
            <v>0</v>
          </cell>
          <cell r="AZ1189">
            <v>0</v>
          </cell>
          <cell r="BA1189">
            <v>0</v>
          </cell>
          <cell r="BD1189" t="str">
            <v/>
          </cell>
          <cell r="BE1189">
            <v>1</v>
          </cell>
          <cell r="BG1189" t="str">
            <v>1100</v>
          </cell>
        </row>
        <row r="1190">
          <cell r="B1190" t="str">
            <v>G221300206100900</v>
          </cell>
          <cell r="C1190" t="str">
            <v>22.静岡県</v>
          </cell>
          <cell r="D1190" t="str">
            <v>130</v>
          </cell>
          <cell r="E1190" t="str">
            <v>浜松市</v>
          </cell>
          <cell r="F1190" t="str">
            <v>02</v>
          </cell>
          <cell r="G1190" t="str">
            <v>特環 単独</v>
          </cell>
          <cell r="H1190" t="str">
            <v>特定環境保全公共下水道</v>
          </cell>
          <cell r="I1190" t="str">
            <v>単独</v>
          </cell>
          <cell r="J1190" t="str">
            <v>009</v>
          </cell>
          <cell r="K1190" t="str">
            <v>佐久間浄化センター</v>
          </cell>
          <cell r="M1190" t="str">
            <v>1</v>
          </cell>
          <cell r="N1190" t="str">
            <v>1</v>
          </cell>
          <cell r="Q1190">
            <v>37561</v>
          </cell>
          <cell r="R1190" t="str">
            <v>平成</v>
          </cell>
          <cell r="S1190">
            <v>14</v>
          </cell>
          <cell r="T1190">
            <v>11</v>
          </cell>
          <cell r="AB1190">
            <v>4900</v>
          </cell>
          <cell r="AC1190" t="str">
            <v>天竜川</v>
          </cell>
          <cell r="AD1190" t="str">
            <v>ＡＡ</v>
          </cell>
          <cell r="AE1190" t="str">
            <v>イ</v>
          </cell>
          <cell r="AF1190">
            <v>15</v>
          </cell>
          <cell r="AK1190" t="str">
            <v>天竜川</v>
          </cell>
          <cell r="AQ1190" t="str">
            <v/>
          </cell>
          <cell r="AR1190" t="str">
            <v>オキシディションディッチ法</v>
          </cell>
          <cell r="AS1190" t="str">
            <v>2213002009</v>
          </cell>
          <cell r="AT1190" t="str">
            <v/>
          </cell>
          <cell r="AU1190" t="str">
            <v>10</v>
          </cell>
          <cell r="AV1190" t="str">
            <v>10</v>
          </cell>
          <cell r="AW1190">
            <v>0</v>
          </cell>
          <cell r="AX1190">
            <v>0</v>
          </cell>
          <cell r="AY1190">
            <v>0</v>
          </cell>
          <cell r="AZ1190">
            <v>0</v>
          </cell>
          <cell r="BA1190">
            <v>0</v>
          </cell>
          <cell r="BD1190" t="str">
            <v/>
          </cell>
          <cell r="BE1190">
            <v>1</v>
          </cell>
          <cell r="BG1190" t="str">
            <v>1100</v>
          </cell>
        </row>
        <row r="1191">
          <cell r="B1191" t="str">
            <v>G221300206101000</v>
          </cell>
          <cell r="C1191" t="str">
            <v>22.静岡県</v>
          </cell>
          <cell r="D1191" t="str">
            <v>130</v>
          </cell>
          <cell r="E1191" t="str">
            <v>浜松市</v>
          </cell>
          <cell r="F1191" t="str">
            <v>02</v>
          </cell>
          <cell r="G1191" t="str">
            <v>特環 単独</v>
          </cell>
          <cell r="H1191" t="str">
            <v>特定環境保全公共下水道</v>
          </cell>
          <cell r="I1191" t="str">
            <v>単独</v>
          </cell>
          <cell r="J1191" t="str">
            <v>010</v>
          </cell>
          <cell r="K1191" t="str">
            <v>城西浄化センター</v>
          </cell>
          <cell r="M1191" t="str">
            <v>1</v>
          </cell>
          <cell r="N1191" t="str">
            <v>1</v>
          </cell>
          <cell r="Q1191">
            <v>39508</v>
          </cell>
          <cell r="R1191" t="str">
            <v>平成</v>
          </cell>
          <cell r="S1191">
            <v>20</v>
          </cell>
          <cell r="T1191">
            <v>3</v>
          </cell>
          <cell r="AB1191">
            <v>4057</v>
          </cell>
          <cell r="AC1191" t="str">
            <v>天竜川</v>
          </cell>
          <cell r="AD1191" t="str">
            <v>ＡＡ</v>
          </cell>
          <cell r="AE1191" t="str">
            <v>イ</v>
          </cell>
          <cell r="AF1191">
            <v>15</v>
          </cell>
          <cell r="AK1191" t="str">
            <v>水窪川</v>
          </cell>
          <cell r="AQ1191" t="str">
            <v/>
          </cell>
          <cell r="AR1191" t="str">
            <v>その他処理方法</v>
          </cell>
          <cell r="AS1191" t="str">
            <v>2213002010</v>
          </cell>
          <cell r="AT1191" t="str">
            <v/>
          </cell>
          <cell r="AU1191" t="str">
            <v>10</v>
          </cell>
          <cell r="AV1191" t="str">
            <v>10</v>
          </cell>
          <cell r="AW1191">
            <v>0</v>
          </cell>
          <cell r="AX1191">
            <v>0</v>
          </cell>
          <cell r="AY1191">
            <v>0</v>
          </cell>
          <cell r="AZ1191">
            <v>0</v>
          </cell>
          <cell r="BA1191">
            <v>0</v>
          </cell>
          <cell r="BD1191" t="str">
            <v/>
          </cell>
          <cell r="BE1191">
            <v>1</v>
          </cell>
          <cell r="BG1191" t="str">
            <v>1100</v>
          </cell>
        </row>
        <row r="1192">
          <cell r="B1192" t="str">
            <v>G222030106100100</v>
          </cell>
          <cell r="C1192" t="str">
            <v>22.静岡県</v>
          </cell>
          <cell r="D1192" t="str">
            <v>203</v>
          </cell>
          <cell r="E1192" t="str">
            <v>沼津市</v>
          </cell>
          <cell r="F1192" t="str">
            <v>01</v>
          </cell>
          <cell r="G1192" t="str">
            <v>公共 単独</v>
          </cell>
          <cell r="H1192" t="str">
            <v>公共下水道</v>
          </cell>
          <cell r="I1192" t="str">
            <v>単独</v>
          </cell>
          <cell r="J1192" t="str">
            <v>001</v>
          </cell>
          <cell r="K1192" t="str">
            <v>中部浄化プラント</v>
          </cell>
          <cell r="M1192" t="str">
            <v>1</v>
          </cell>
          <cell r="N1192" t="str">
            <v>1</v>
          </cell>
          <cell r="Q1192">
            <v>28795</v>
          </cell>
          <cell r="R1192" t="str">
            <v>昭和</v>
          </cell>
          <cell r="S1192">
            <v>53</v>
          </cell>
          <cell r="T1192">
            <v>11</v>
          </cell>
          <cell r="AB1192">
            <v>20270</v>
          </cell>
          <cell r="AC1192" t="str">
            <v>狩野川</v>
          </cell>
          <cell r="AD1192" t="str">
            <v>Ｂ</v>
          </cell>
          <cell r="AE1192" t="str">
            <v>ロ</v>
          </cell>
          <cell r="AF1192">
            <v>15</v>
          </cell>
          <cell r="AK1192" t="str">
            <v>観音川</v>
          </cell>
          <cell r="AQ1192" t="str">
            <v/>
          </cell>
          <cell r="AR1192" t="str">
            <v>標準活性汚泥法</v>
          </cell>
          <cell r="AS1192" t="str">
            <v>2220301001</v>
          </cell>
          <cell r="AT1192" t="str">
            <v/>
          </cell>
          <cell r="AU1192" t="str">
            <v>10</v>
          </cell>
          <cell r="AV1192" t="str">
            <v>10</v>
          </cell>
          <cell r="AW1192">
            <v>0</v>
          </cell>
          <cell r="AX1192">
            <v>0</v>
          </cell>
          <cell r="AY1192">
            <v>0</v>
          </cell>
          <cell r="AZ1192">
            <v>0</v>
          </cell>
          <cell r="BA1192">
            <v>0</v>
          </cell>
          <cell r="BD1192" t="str">
            <v/>
          </cell>
          <cell r="BE1192">
            <v>1</v>
          </cell>
          <cell r="BG1192" t="str">
            <v>1100</v>
          </cell>
        </row>
        <row r="1193">
          <cell r="B1193" t="str">
            <v>G222030106100200</v>
          </cell>
          <cell r="C1193" t="str">
            <v>22.静岡県</v>
          </cell>
          <cell r="D1193" t="str">
            <v>203</v>
          </cell>
          <cell r="E1193" t="str">
            <v>沼津市</v>
          </cell>
          <cell r="F1193" t="str">
            <v>01</v>
          </cell>
          <cell r="G1193" t="str">
            <v>公共 単独</v>
          </cell>
          <cell r="H1193" t="str">
            <v>公共下水道</v>
          </cell>
          <cell r="I1193" t="str">
            <v>単独</v>
          </cell>
          <cell r="J1193" t="str">
            <v>002</v>
          </cell>
          <cell r="K1193" t="str">
            <v>重須浄化センター</v>
          </cell>
          <cell r="M1193" t="str">
            <v>1</v>
          </cell>
          <cell r="N1193" t="str">
            <v>1</v>
          </cell>
          <cell r="Q1193">
            <v>31472</v>
          </cell>
          <cell r="R1193" t="str">
            <v>昭和</v>
          </cell>
          <cell r="S1193">
            <v>61</v>
          </cell>
          <cell r="T1193">
            <v>3</v>
          </cell>
          <cell r="AB1193">
            <v>8230</v>
          </cell>
          <cell r="AC1193" t="str">
            <v>奥駿河湾</v>
          </cell>
          <cell r="AD1193" t="str">
            <v>Ａ</v>
          </cell>
          <cell r="AF1193">
            <v>15</v>
          </cell>
          <cell r="AI1193" t="str">
            <v>益山川</v>
          </cell>
          <cell r="AJ1193" t="str">
            <v>陰野川</v>
          </cell>
          <cell r="AQ1193" t="str">
            <v/>
          </cell>
          <cell r="AR1193" t="str">
            <v>長時間エアレーション法</v>
          </cell>
          <cell r="AS1193" t="str">
            <v>2220301002</v>
          </cell>
          <cell r="AT1193" t="str">
            <v/>
          </cell>
          <cell r="AU1193" t="str">
            <v>10</v>
          </cell>
          <cell r="AV1193" t="str">
            <v>10</v>
          </cell>
          <cell r="AW1193">
            <v>0</v>
          </cell>
          <cell r="AX1193">
            <v>0</v>
          </cell>
          <cell r="AY1193">
            <v>0</v>
          </cell>
          <cell r="AZ1193">
            <v>0</v>
          </cell>
          <cell r="BA1193">
            <v>0</v>
          </cell>
          <cell r="BD1193" t="str">
            <v/>
          </cell>
          <cell r="BE1193">
            <v>1</v>
          </cell>
          <cell r="BG1193" t="str">
            <v>1100</v>
          </cell>
        </row>
        <row r="1194">
          <cell r="B1194" t="str">
            <v>G222030106100300</v>
          </cell>
          <cell r="C1194" t="str">
            <v>22.静岡県</v>
          </cell>
          <cell r="D1194" t="str">
            <v>203</v>
          </cell>
          <cell r="E1194" t="str">
            <v>沼津市</v>
          </cell>
          <cell r="F1194" t="str">
            <v>01</v>
          </cell>
          <cell r="G1194" t="str">
            <v>公共 単独</v>
          </cell>
          <cell r="H1194" t="str">
            <v>公共下水道</v>
          </cell>
          <cell r="I1194" t="str">
            <v>単独</v>
          </cell>
          <cell r="J1194" t="str">
            <v>003</v>
          </cell>
          <cell r="K1194" t="str">
            <v>南部浄化センター</v>
          </cell>
          <cell r="M1194" t="str">
            <v>1</v>
          </cell>
          <cell r="N1194" t="str">
            <v>1</v>
          </cell>
          <cell r="Q1194">
            <v>38047</v>
          </cell>
          <cell r="R1194" t="str">
            <v>平成</v>
          </cell>
          <cell r="S1194">
            <v>16</v>
          </cell>
          <cell r="T1194">
            <v>3</v>
          </cell>
          <cell r="AB1194">
            <v>41400</v>
          </cell>
          <cell r="AC1194" t="str">
            <v>奥駿河湾</v>
          </cell>
          <cell r="AD1194" t="str">
            <v>Ａ</v>
          </cell>
          <cell r="AE1194" t="str">
            <v>イ</v>
          </cell>
          <cell r="AF1194">
            <v>15</v>
          </cell>
          <cell r="AI1194" t="str">
            <v>駿河湾</v>
          </cell>
          <cell r="AQ1194" t="str">
            <v/>
          </cell>
          <cell r="AR1194" t="str">
            <v>標準活性汚泥法</v>
          </cell>
          <cell r="AS1194" t="str">
            <v>2220301003</v>
          </cell>
          <cell r="AT1194" t="str">
            <v/>
          </cell>
          <cell r="AU1194" t="str">
            <v>10</v>
          </cell>
          <cell r="AV1194" t="str">
            <v>10</v>
          </cell>
          <cell r="AW1194">
            <v>0</v>
          </cell>
          <cell r="AX1194">
            <v>0</v>
          </cell>
          <cell r="AY1194">
            <v>0</v>
          </cell>
          <cell r="AZ1194">
            <v>0</v>
          </cell>
          <cell r="BA1194">
            <v>0</v>
          </cell>
          <cell r="BD1194" t="str">
            <v/>
          </cell>
          <cell r="BE1194">
            <v>1</v>
          </cell>
          <cell r="BG1194" t="str">
            <v>1100</v>
          </cell>
        </row>
        <row r="1195">
          <cell r="B1195" t="str">
            <v>G222030206100400</v>
          </cell>
          <cell r="C1195" t="str">
            <v>22.静岡県</v>
          </cell>
          <cell r="D1195" t="str">
            <v>203</v>
          </cell>
          <cell r="E1195" t="str">
            <v>沼津市</v>
          </cell>
          <cell r="F1195" t="str">
            <v>02</v>
          </cell>
          <cell r="G1195" t="str">
            <v>特環 単独</v>
          </cell>
          <cell r="H1195" t="str">
            <v>特定環境保全公共下水道</v>
          </cell>
          <cell r="I1195" t="str">
            <v>単独</v>
          </cell>
          <cell r="J1195" t="str">
            <v>004</v>
          </cell>
          <cell r="K1195" t="str">
            <v>久連浄化センター</v>
          </cell>
          <cell r="M1195" t="str">
            <v>1</v>
          </cell>
          <cell r="N1195" t="str">
            <v>1</v>
          </cell>
          <cell r="Q1195">
            <v>28946</v>
          </cell>
          <cell r="R1195" t="str">
            <v>昭和</v>
          </cell>
          <cell r="S1195">
            <v>54</v>
          </cell>
          <cell r="T1195">
            <v>4</v>
          </cell>
          <cell r="AB1195">
            <v>1206</v>
          </cell>
          <cell r="AC1195" t="str">
            <v>奥駿河湾</v>
          </cell>
          <cell r="AD1195" t="str">
            <v>Ａ</v>
          </cell>
          <cell r="AF1195">
            <v>15</v>
          </cell>
          <cell r="AI1195" t="str">
            <v>久連川</v>
          </cell>
          <cell r="AQ1195" t="str">
            <v/>
          </cell>
          <cell r="AR1195" t="str">
            <v>長時間エアレーション法</v>
          </cell>
          <cell r="AS1195" t="str">
            <v>2220302004</v>
          </cell>
          <cell r="AT1195" t="str">
            <v/>
          </cell>
          <cell r="AU1195" t="str">
            <v>10</v>
          </cell>
          <cell r="AV1195" t="str">
            <v>10</v>
          </cell>
          <cell r="AW1195">
            <v>0</v>
          </cell>
          <cell r="AX1195">
            <v>0</v>
          </cell>
          <cell r="AY1195">
            <v>0</v>
          </cell>
          <cell r="AZ1195">
            <v>0</v>
          </cell>
          <cell r="BA1195">
            <v>0</v>
          </cell>
          <cell r="BD1195" t="str">
            <v/>
          </cell>
          <cell r="BE1195">
            <v>1</v>
          </cell>
          <cell r="BG1195" t="str">
            <v>1100</v>
          </cell>
        </row>
        <row r="1196">
          <cell r="B1196" t="str">
            <v>G222030206100500</v>
          </cell>
          <cell r="C1196" t="str">
            <v>22.静岡県</v>
          </cell>
          <cell r="D1196" t="str">
            <v>203</v>
          </cell>
          <cell r="E1196" t="str">
            <v>沼津市</v>
          </cell>
          <cell r="F1196" t="str">
            <v>02</v>
          </cell>
          <cell r="G1196" t="str">
            <v>特環 単独</v>
          </cell>
          <cell r="H1196" t="str">
            <v>特定環境保全公共下水道</v>
          </cell>
          <cell r="I1196" t="str">
            <v>単独</v>
          </cell>
          <cell r="J1196" t="str">
            <v>005</v>
          </cell>
          <cell r="K1196" t="str">
            <v>戸田浄化センター</v>
          </cell>
          <cell r="M1196" t="str">
            <v>1</v>
          </cell>
          <cell r="N1196" t="str">
            <v>1</v>
          </cell>
          <cell r="P1196" t="str">
            <v>1</v>
          </cell>
          <cell r="Q1196">
            <v>39508</v>
          </cell>
          <cell r="R1196" t="str">
            <v>平成</v>
          </cell>
          <cell r="S1196">
            <v>20</v>
          </cell>
          <cell r="T1196">
            <v>3</v>
          </cell>
          <cell r="AB1196">
            <v>4300</v>
          </cell>
          <cell r="AC1196" t="str">
            <v>奥駿河湾</v>
          </cell>
          <cell r="AD1196" t="str">
            <v>Ａ</v>
          </cell>
          <cell r="AF1196">
            <v>15</v>
          </cell>
          <cell r="AI1196" t="str">
            <v>雨水排水路</v>
          </cell>
          <cell r="AJ1196" t="str">
            <v>大川</v>
          </cell>
          <cell r="AQ1196" t="str">
            <v/>
          </cell>
          <cell r="AR1196" t="str">
            <v>その他処理方法</v>
          </cell>
          <cell r="AS1196" t="str">
            <v>2220302005</v>
          </cell>
          <cell r="AT1196" t="str">
            <v/>
          </cell>
          <cell r="AU1196" t="str">
            <v>10</v>
          </cell>
          <cell r="AV1196" t="str">
            <v>10</v>
          </cell>
          <cell r="AW1196">
            <v>1</v>
          </cell>
          <cell r="AX1196">
            <v>0</v>
          </cell>
          <cell r="AY1196">
            <v>0</v>
          </cell>
          <cell r="AZ1196">
            <v>0</v>
          </cell>
          <cell r="BA1196">
            <v>0</v>
          </cell>
          <cell r="BD1196" t="str">
            <v/>
          </cell>
          <cell r="BE1196">
            <v>1</v>
          </cell>
          <cell r="BG1196" t="str">
            <v>1101</v>
          </cell>
        </row>
        <row r="1197">
          <cell r="B1197" t="str">
            <v>G222050106100100</v>
          </cell>
          <cell r="C1197" t="str">
            <v>22.静岡県</v>
          </cell>
          <cell r="D1197" t="str">
            <v>205</v>
          </cell>
          <cell r="E1197" t="str">
            <v>熱海市</v>
          </cell>
          <cell r="F1197" t="str">
            <v>01</v>
          </cell>
          <cell r="G1197" t="str">
            <v>公共 単独</v>
          </cell>
          <cell r="H1197" t="str">
            <v>公共下水道</v>
          </cell>
          <cell r="I1197" t="str">
            <v>単独</v>
          </cell>
          <cell r="J1197" t="str">
            <v>001</v>
          </cell>
          <cell r="K1197" t="str">
            <v>熱海市浄水管理センター</v>
          </cell>
          <cell r="M1197" t="str">
            <v>1</v>
          </cell>
          <cell r="N1197" t="str">
            <v>1</v>
          </cell>
          <cell r="Q1197">
            <v>31229</v>
          </cell>
          <cell r="R1197" t="str">
            <v>昭和</v>
          </cell>
          <cell r="S1197">
            <v>60</v>
          </cell>
          <cell r="T1197">
            <v>7</v>
          </cell>
          <cell r="AB1197">
            <v>58230</v>
          </cell>
          <cell r="AC1197" t="str">
            <v>伊豆沿岸海域</v>
          </cell>
          <cell r="AD1197" t="str">
            <v>Ａ</v>
          </cell>
          <cell r="AE1197" t="str">
            <v>イ</v>
          </cell>
          <cell r="AI1197" t="str">
            <v>相模湾</v>
          </cell>
          <cell r="AQ1197" t="str">
            <v/>
          </cell>
          <cell r="AR1197" t="str">
            <v>標準活性汚泥法</v>
          </cell>
          <cell r="AS1197" t="str">
            <v>2220501001</v>
          </cell>
          <cell r="AT1197" t="str">
            <v/>
          </cell>
          <cell r="AU1197" t="str">
            <v>10</v>
          </cell>
          <cell r="AV1197" t="str">
            <v>10</v>
          </cell>
          <cell r="AW1197">
            <v>0</v>
          </cell>
          <cell r="AX1197">
            <v>0</v>
          </cell>
          <cell r="AY1197">
            <v>0</v>
          </cell>
          <cell r="AZ1197">
            <v>0</v>
          </cell>
          <cell r="BA1197">
            <v>0</v>
          </cell>
          <cell r="BD1197" t="str">
            <v/>
          </cell>
          <cell r="BE1197">
            <v>1</v>
          </cell>
          <cell r="BG1197" t="str">
            <v>1100</v>
          </cell>
        </row>
        <row r="1198">
          <cell r="B1198" t="str">
            <v>G222060106100100</v>
          </cell>
          <cell r="C1198" t="str">
            <v>22.静岡県</v>
          </cell>
          <cell r="D1198" t="str">
            <v>206</v>
          </cell>
          <cell r="E1198" t="str">
            <v>三島市</v>
          </cell>
          <cell r="F1198" t="str">
            <v>01</v>
          </cell>
          <cell r="G1198" t="str">
            <v>公共 単独</v>
          </cell>
          <cell r="H1198" t="str">
            <v>公共下水道</v>
          </cell>
          <cell r="I1198" t="str">
            <v>単独</v>
          </cell>
          <cell r="J1198" t="str">
            <v>001</v>
          </cell>
          <cell r="K1198" t="str">
            <v>三島終末処理場</v>
          </cell>
          <cell r="M1198" t="str">
            <v>1</v>
          </cell>
          <cell r="N1198" t="str">
            <v>1</v>
          </cell>
          <cell r="Q1198">
            <v>28065</v>
          </cell>
          <cell r="R1198" t="str">
            <v>昭和</v>
          </cell>
          <cell r="S1198">
            <v>51</v>
          </cell>
          <cell r="T1198">
            <v>11</v>
          </cell>
          <cell r="AB1198">
            <v>39723</v>
          </cell>
          <cell r="AC1198" t="str">
            <v>狩野川下流</v>
          </cell>
          <cell r="AD1198" t="str">
            <v>Ｂ</v>
          </cell>
          <cell r="AE1198" t="str">
            <v>ロ</v>
          </cell>
          <cell r="AF1198">
            <v>15</v>
          </cell>
          <cell r="AK1198" t="str">
            <v>狩野川</v>
          </cell>
          <cell r="AQ1198" t="str">
            <v/>
          </cell>
          <cell r="AR1198" t="str">
            <v>標準活性汚泥法</v>
          </cell>
          <cell r="AS1198" t="str">
            <v>2220601001</v>
          </cell>
          <cell r="AT1198" t="str">
            <v/>
          </cell>
          <cell r="AU1198" t="str">
            <v>10</v>
          </cell>
          <cell r="AV1198" t="str">
            <v>10</v>
          </cell>
          <cell r="AW1198">
            <v>0</v>
          </cell>
          <cell r="AX1198">
            <v>0</v>
          </cell>
          <cell r="AY1198">
            <v>0</v>
          </cell>
          <cell r="AZ1198">
            <v>0</v>
          </cell>
          <cell r="BA1198">
            <v>0</v>
          </cell>
          <cell r="BD1198" t="str">
            <v/>
          </cell>
          <cell r="BE1198">
            <v>1</v>
          </cell>
          <cell r="BG1198" t="str">
            <v>1100</v>
          </cell>
        </row>
        <row r="1199">
          <cell r="B1199" t="str">
            <v>G222070106100100</v>
          </cell>
          <cell r="C1199" t="str">
            <v>22.静岡県</v>
          </cell>
          <cell r="D1199" t="str">
            <v>207</v>
          </cell>
          <cell r="E1199" t="str">
            <v>富士宮市</v>
          </cell>
          <cell r="F1199" t="str">
            <v>01</v>
          </cell>
          <cell r="G1199" t="str">
            <v>公共 単独</v>
          </cell>
          <cell r="H1199" t="str">
            <v>公共下水道</v>
          </cell>
          <cell r="I1199" t="str">
            <v>単独</v>
          </cell>
          <cell r="J1199" t="str">
            <v>001</v>
          </cell>
          <cell r="K1199" t="str">
            <v>星山浄化センター</v>
          </cell>
          <cell r="M1199" t="str">
            <v>1</v>
          </cell>
          <cell r="N1199" t="str">
            <v>1</v>
          </cell>
          <cell r="Q1199">
            <v>30042</v>
          </cell>
          <cell r="R1199" t="str">
            <v>昭和</v>
          </cell>
          <cell r="S1199">
            <v>57</v>
          </cell>
          <cell r="T1199">
            <v>4</v>
          </cell>
          <cell r="AB1199">
            <v>43600</v>
          </cell>
          <cell r="AC1199" t="str">
            <v>奥駿河湾水域</v>
          </cell>
          <cell r="AD1199" t="str">
            <v>Ａ</v>
          </cell>
          <cell r="AE1199" t="str">
            <v>ロ</v>
          </cell>
          <cell r="AF1199">
            <v>15</v>
          </cell>
          <cell r="AK1199" t="str">
            <v>富士川</v>
          </cell>
          <cell r="AQ1199" t="str">
            <v/>
          </cell>
          <cell r="AR1199" t="str">
            <v>標準活性汚泥法</v>
          </cell>
          <cell r="AS1199" t="str">
            <v>2220701001</v>
          </cell>
          <cell r="AT1199" t="str">
            <v/>
          </cell>
          <cell r="AU1199" t="str">
            <v>10</v>
          </cell>
          <cell r="AV1199" t="str">
            <v>10</v>
          </cell>
          <cell r="AW1199">
            <v>0</v>
          </cell>
          <cell r="AX1199">
            <v>0</v>
          </cell>
          <cell r="AY1199">
            <v>0</v>
          </cell>
          <cell r="AZ1199">
            <v>0</v>
          </cell>
          <cell r="BA1199">
            <v>0</v>
          </cell>
          <cell r="BD1199" t="str">
            <v/>
          </cell>
          <cell r="BE1199">
            <v>1</v>
          </cell>
          <cell r="BG1199" t="str">
            <v>1100</v>
          </cell>
        </row>
        <row r="1200">
          <cell r="B1200" t="str">
            <v>G222080106100100</v>
          </cell>
          <cell r="C1200" t="str">
            <v>22.静岡県</v>
          </cell>
          <cell r="D1200" t="str">
            <v>208</v>
          </cell>
          <cell r="E1200" t="str">
            <v>伊東市</v>
          </cell>
          <cell r="F1200" t="str">
            <v>01</v>
          </cell>
          <cell r="G1200" t="str">
            <v>公共 単独</v>
          </cell>
          <cell r="H1200" t="str">
            <v>公共下水道</v>
          </cell>
          <cell r="I1200" t="str">
            <v>単独</v>
          </cell>
          <cell r="J1200" t="str">
            <v>001</v>
          </cell>
          <cell r="K1200" t="str">
            <v>湯川終末処理場</v>
          </cell>
          <cell r="M1200" t="str">
            <v>1</v>
          </cell>
          <cell r="N1200" t="str">
            <v>1</v>
          </cell>
          <cell r="P1200" t="str">
            <v>1</v>
          </cell>
          <cell r="Q1200">
            <v>27242</v>
          </cell>
          <cell r="R1200" t="str">
            <v>昭和</v>
          </cell>
          <cell r="S1200">
            <v>49</v>
          </cell>
          <cell r="T1200">
            <v>8</v>
          </cell>
          <cell r="AB1200">
            <v>29300</v>
          </cell>
          <cell r="AC1200" t="str">
            <v>伊豆沿岸水域</v>
          </cell>
          <cell r="AD1200" t="str">
            <v>Ａ</v>
          </cell>
          <cell r="AE1200" t="str">
            <v>イ</v>
          </cell>
          <cell r="AF1200">
            <v>15</v>
          </cell>
          <cell r="AI1200" t="str">
            <v>伊東港</v>
          </cell>
          <cell r="AL1200" t="str">
            <v>大川浄水場取水口</v>
          </cell>
          <cell r="AM1200">
            <v>4.0999999999999996</v>
          </cell>
          <cell r="AO1200" t="str">
            <v>伊東市</v>
          </cell>
          <cell r="AQ1200" t="str">
            <v/>
          </cell>
          <cell r="AR1200" t="str">
            <v>標準活性汚泥法</v>
          </cell>
          <cell r="AS1200" t="str">
            <v>2220801001</v>
          </cell>
          <cell r="AT1200" t="str">
            <v/>
          </cell>
          <cell r="AU1200" t="str">
            <v>10</v>
          </cell>
          <cell r="AV1200" t="str">
            <v>10</v>
          </cell>
          <cell r="AW1200">
            <v>1</v>
          </cell>
          <cell r="AX1200">
            <v>0</v>
          </cell>
          <cell r="AY1200">
            <v>0</v>
          </cell>
          <cell r="AZ1200">
            <v>0</v>
          </cell>
          <cell r="BA1200">
            <v>0</v>
          </cell>
          <cell r="BD1200" t="str">
            <v/>
          </cell>
          <cell r="BE1200">
            <v>1</v>
          </cell>
          <cell r="BG1200" t="str">
            <v>1101</v>
          </cell>
        </row>
        <row r="1201">
          <cell r="B1201" t="str">
            <v>G222080206100200</v>
          </cell>
          <cell r="C1201" t="str">
            <v>22.静岡県</v>
          </cell>
          <cell r="D1201" t="str">
            <v>208</v>
          </cell>
          <cell r="E1201" t="str">
            <v>伊東市</v>
          </cell>
          <cell r="F1201" t="str">
            <v>02</v>
          </cell>
          <cell r="G1201" t="str">
            <v>特環 単独</v>
          </cell>
          <cell r="H1201" t="str">
            <v>特定環境保全公共下水道</v>
          </cell>
          <cell r="I1201" t="str">
            <v>単独</v>
          </cell>
          <cell r="J1201" t="str">
            <v>002</v>
          </cell>
          <cell r="K1201" t="str">
            <v>かわせみ浄化センター</v>
          </cell>
          <cell r="M1201" t="str">
            <v>1</v>
          </cell>
          <cell r="N1201" t="str">
            <v>1</v>
          </cell>
          <cell r="Q1201">
            <v>38777</v>
          </cell>
          <cell r="R1201" t="str">
            <v>平成</v>
          </cell>
          <cell r="S1201">
            <v>18</v>
          </cell>
          <cell r="T1201">
            <v>3</v>
          </cell>
          <cell r="AB1201">
            <v>14000</v>
          </cell>
          <cell r="AC1201" t="str">
            <v>伊豆沿岸水域</v>
          </cell>
          <cell r="AD1201" t="str">
            <v>Ｂ</v>
          </cell>
          <cell r="AE1201" t="str">
            <v>イ</v>
          </cell>
          <cell r="AF1201">
            <v>15</v>
          </cell>
          <cell r="AJ1201" t="str">
            <v>伊東大川</v>
          </cell>
          <cell r="AL1201" t="str">
            <v>大川浄水場取水口</v>
          </cell>
          <cell r="AM1201">
            <v>0.5</v>
          </cell>
          <cell r="AO1201" t="str">
            <v>伊東市</v>
          </cell>
          <cell r="AQ1201" t="str">
            <v/>
          </cell>
          <cell r="AR1201" t="str">
            <v>オキシディションディッチ法</v>
          </cell>
          <cell r="AS1201" t="str">
            <v>2220802002</v>
          </cell>
          <cell r="AT1201" t="str">
            <v/>
          </cell>
          <cell r="AU1201" t="str">
            <v>10</v>
          </cell>
          <cell r="AV1201" t="str">
            <v>10</v>
          </cell>
          <cell r="AW1201">
            <v>0</v>
          </cell>
          <cell r="AX1201">
            <v>0</v>
          </cell>
          <cell r="AY1201">
            <v>0</v>
          </cell>
          <cell r="AZ1201">
            <v>0</v>
          </cell>
          <cell r="BA1201">
            <v>0</v>
          </cell>
          <cell r="BD1201" t="str">
            <v/>
          </cell>
          <cell r="BE1201">
            <v>1</v>
          </cell>
          <cell r="BG1201" t="str">
            <v>1100</v>
          </cell>
        </row>
        <row r="1202">
          <cell r="B1202" t="str">
            <v>G222090106100100</v>
          </cell>
          <cell r="C1202" t="str">
            <v>22.静岡県</v>
          </cell>
          <cell r="D1202" t="str">
            <v>209</v>
          </cell>
          <cell r="E1202" t="str">
            <v>島田市</v>
          </cell>
          <cell r="F1202" t="str">
            <v>01</v>
          </cell>
          <cell r="G1202" t="str">
            <v>公共 単独</v>
          </cell>
          <cell r="H1202" t="str">
            <v>公共下水道</v>
          </cell>
          <cell r="I1202" t="str">
            <v>単独</v>
          </cell>
          <cell r="J1202" t="str">
            <v>001</v>
          </cell>
          <cell r="K1202" t="str">
            <v>島田浄化センター</v>
          </cell>
          <cell r="M1202" t="str">
            <v>1</v>
          </cell>
          <cell r="N1202" t="str">
            <v>1</v>
          </cell>
          <cell r="P1202" t="str">
            <v>1</v>
          </cell>
          <cell r="Q1202">
            <v>34790</v>
          </cell>
          <cell r="R1202" t="str">
            <v>平成</v>
          </cell>
          <cell r="S1202">
            <v>7</v>
          </cell>
          <cell r="T1202">
            <v>4</v>
          </cell>
          <cell r="AB1202">
            <v>38300</v>
          </cell>
          <cell r="AC1202" t="str">
            <v>大井川</v>
          </cell>
          <cell r="AD1202" t="str">
            <v>Ｂ</v>
          </cell>
          <cell r="AF1202">
            <v>15</v>
          </cell>
          <cell r="AK1202" t="str">
            <v>大井川</v>
          </cell>
          <cell r="AQ1202" t="str">
            <v/>
          </cell>
          <cell r="AR1202" t="str">
            <v>標準活性汚泥法</v>
          </cell>
          <cell r="AS1202" t="str">
            <v>2220901001</v>
          </cell>
          <cell r="AT1202" t="str">
            <v/>
          </cell>
          <cell r="AU1202" t="str">
            <v>10</v>
          </cell>
          <cell r="AV1202" t="str">
            <v>10</v>
          </cell>
          <cell r="AW1202">
            <v>1</v>
          </cell>
          <cell r="AX1202">
            <v>0</v>
          </cell>
          <cell r="AY1202">
            <v>0</v>
          </cell>
          <cell r="AZ1202">
            <v>0</v>
          </cell>
          <cell r="BA1202">
            <v>0</v>
          </cell>
          <cell r="BD1202" t="str">
            <v/>
          </cell>
          <cell r="BE1202">
            <v>1</v>
          </cell>
          <cell r="BG1202" t="str">
            <v>1101</v>
          </cell>
        </row>
        <row r="1203">
          <cell r="B1203" t="str">
            <v>G222100106100100</v>
          </cell>
          <cell r="C1203" t="str">
            <v>22.静岡県</v>
          </cell>
          <cell r="D1203" t="str">
            <v>210</v>
          </cell>
          <cell r="E1203" t="str">
            <v>富士市</v>
          </cell>
          <cell r="F1203" t="str">
            <v>01</v>
          </cell>
          <cell r="G1203" t="str">
            <v>公共 単独</v>
          </cell>
          <cell r="H1203" t="str">
            <v>公共下水道</v>
          </cell>
          <cell r="I1203" t="str">
            <v>単独</v>
          </cell>
          <cell r="J1203" t="str">
            <v>001</v>
          </cell>
          <cell r="K1203" t="str">
            <v>吉原終末処理場</v>
          </cell>
          <cell r="U1203" t="str">
            <v>廃止</v>
          </cell>
          <cell r="V1203">
            <v>40999</v>
          </cell>
          <cell r="W1203" t="str">
            <v>平成</v>
          </cell>
          <cell r="X1203">
            <v>24</v>
          </cell>
          <cell r="Y1203">
            <v>3</v>
          </cell>
          <cell r="AQ1203" t="str">
            <v>廃止</v>
          </cell>
          <cell r="AR1203" t="str">
            <v/>
          </cell>
          <cell r="AS1203" t="str">
            <v>2221001001</v>
          </cell>
          <cell r="AT1203" t="str">
            <v/>
          </cell>
          <cell r="AU1203" t="str">
            <v>00</v>
          </cell>
          <cell r="AV1203" t="str">
            <v>00</v>
          </cell>
          <cell r="AW1203">
            <v>0</v>
          </cell>
          <cell r="AX1203">
            <v>0</v>
          </cell>
          <cell r="AY1203">
            <v>0</v>
          </cell>
          <cell r="AZ1203">
            <v>0</v>
          </cell>
          <cell r="BA1203">
            <v>0</v>
          </cell>
          <cell r="BD1203" t="str">
            <v/>
          </cell>
          <cell r="BE1203">
            <v>0</v>
          </cell>
          <cell r="BG1203">
            <v>9999</v>
          </cell>
        </row>
        <row r="1204">
          <cell r="B1204" t="str">
            <v>G222100106100200</v>
          </cell>
          <cell r="C1204" t="str">
            <v>22.静岡県</v>
          </cell>
          <cell r="D1204" t="str">
            <v>210</v>
          </cell>
          <cell r="E1204" t="str">
            <v>富士市</v>
          </cell>
          <cell r="F1204" t="str">
            <v>01</v>
          </cell>
          <cell r="G1204" t="str">
            <v>公共 単独</v>
          </cell>
          <cell r="H1204" t="str">
            <v>公共下水道</v>
          </cell>
          <cell r="I1204" t="str">
            <v>単独</v>
          </cell>
          <cell r="J1204" t="str">
            <v>002</v>
          </cell>
          <cell r="K1204" t="str">
            <v>西部浄化センター</v>
          </cell>
          <cell r="M1204" t="str">
            <v>1</v>
          </cell>
          <cell r="N1204" t="str">
            <v>1</v>
          </cell>
          <cell r="Q1204">
            <v>29312</v>
          </cell>
          <cell r="R1204" t="str">
            <v>昭和</v>
          </cell>
          <cell r="S1204">
            <v>55</v>
          </cell>
          <cell r="T1204">
            <v>4</v>
          </cell>
          <cell r="AB1204">
            <v>53260</v>
          </cell>
          <cell r="AF1204">
            <v>15</v>
          </cell>
          <cell r="AI1204" t="str">
            <v>富士早川</v>
          </cell>
          <cell r="AQ1204" t="str">
            <v/>
          </cell>
          <cell r="AR1204" t="str">
            <v>標準活性汚泥法</v>
          </cell>
          <cell r="AS1204" t="str">
            <v>2221001002</v>
          </cell>
          <cell r="AT1204" t="str">
            <v/>
          </cell>
          <cell r="AU1204" t="str">
            <v>10</v>
          </cell>
          <cell r="AV1204" t="str">
            <v>10</v>
          </cell>
          <cell r="AW1204">
            <v>0</v>
          </cell>
          <cell r="AX1204">
            <v>0</v>
          </cell>
          <cell r="AY1204">
            <v>0</v>
          </cell>
          <cell r="AZ1204">
            <v>0</v>
          </cell>
          <cell r="BA1204">
            <v>0</v>
          </cell>
          <cell r="BD1204" t="str">
            <v/>
          </cell>
          <cell r="BE1204">
            <v>1</v>
          </cell>
          <cell r="BG1204" t="str">
            <v>1100</v>
          </cell>
        </row>
        <row r="1205">
          <cell r="B1205" t="str">
            <v>G222100106100300</v>
          </cell>
          <cell r="C1205" t="str">
            <v>22.静岡県</v>
          </cell>
          <cell r="D1205" t="str">
            <v>210</v>
          </cell>
          <cell r="E1205" t="str">
            <v>富士市</v>
          </cell>
          <cell r="F1205" t="str">
            <v>01</v>
          </cell>
          <cell r="G1205" t="str">
            <v>公共 単独</v>
          </cell>
          <cell r="H1205" t="str">
            <v>公共下水道</v>
          </cell>
          <cell r="I1205" t="str">
            <v>単独</v>
          </cell>
          <cell r="J1205" t="str">
            <v>003</v>
          </cell>
          <cell r="K1205" t="str">
            <v>東部浄化センター</v>
          </cell>
          <cell r="M1205" t="str">
            <v>1</v>
          </cell>
          <cell r="N1205" t="str">
            <v>1</v>
          </cell>
          <cell r="P1205" t="str">
            <v>1</v>
          </cell>
          <cell r="Q1205">
            <v>32964</v>
          </cell>
          <cell r="R1205" t="str">
            <v>平成</v>
          </cell>
          <cell r="S1205">
            <v>2</v>
          </cell>
          <cell r="T1205">
            <v>4</v>
          </cell>
          <cell r="AB1205">
            <v>115700</v>
          </cell>
          <cell r="AF1205">
            <v>15</v>
          </cell>
          <cell r="AI1205" t="str">
            <v>沼川</v>
          </cell>
          <cell r="AQ1205" t="str">
            <v/>
          </cell>
          <cell r="AR1205" t="str">
            <v>標準活性汚泥法</v>
          </cell>
          <cell r="AS1205" t="str">
            <v>2221001003</v>
          </cell>
          <cell r="AT1205" t="str">
            <v/>
          </cell>
          <cell r="AU1205" t="str">
            <v>10</v>
          </cell>
          <cell r="AV1205" t="str">
            <v>10</v>
          </cell>
          <cell r="AW1205">
            <v>1</v>
          </cell>
          <cell r="AX1205">
            <v>0</v>
          </cell>
          <cell r="AY1205">
            <v>0</v>
          </cell>
          <cell r="AZ1205">
            <v>0</v>
          </cell>
          <cell r="BA1205">
            <v>0</v>
          </cell>
          <cell r="BD1205" t="str">
            <v/>
          </cell>
          <cell r="BE1205">
            <v>1</v>
          </cell>
          <cell r="BG1205" t="str">
            <v>1101</v>
          </cell>
        </row>
        <row r="1206">
          <cell r="B1206" t="str">
            <v>G222110206100100</v>
          </cell>
          <cell r="C1206" t="str">
            <v>22.静岡県</v>
          </cell>
          <cell r="D1206" t="str">
            <v>211</v>
          </cell>
          <cell r="E1206" t="str">
            <v>磐田市</v>
          </cell>
          <cell r="F1206" t="str">
            <v>02</v>
          </cell>
          <cell r="G1206" t="str">
            <v>特環 単独</v>
          </cell>
          <cell r="H1206" t="str">
            <v>特定環境保全公共下水道</v>
          </cell>
          <cell r="I1206" t="str">
            <v>単独</v>
          </cell>
          <cell r="J1206" t="str">
            <v>001</v>
          </cell>
          <cell r="K1206" t="str">
            <v>豊岡クリーンセンター</v>
          </cell>
          <cell r="M1206" t="str">
            <v>1</v>
          </cell>
          <cell r="N1206" t="str">
            <v>1</v>
          </cell>
          <cell r="Q1206">
            <v>36951</v>
          </cell>
          <cell r="R1206" t="str">
            <v>平成</v>
          </cell>
          <cell r="S1206">
            <v>13</v>
          </cell>
          <cell r="T1206">
            <v>3</v>
          </cell>
          <cell r="AB1206">
            <v>23819</v>
          </cell>
          <cell r="AC1206" t="str">
            <v>天竜川</v>
          </cell>
          <cell r="AD1206" t="str">
            <v>Ａ</v>
          </cell>
          <cell r="AE1206" t="str">
            <v>イ</v>
          </cell>
          <cell r="AF1206">
            <v>15</v>
          </cell>
          <cell r="AI1206" t="str">
            <v>松木１号排水路</v>
          </cell>
          <cell r="AJ1206" t="str">
            <v>一雲済川</v>
          </cell>
          <cell r="AK1206" t="str">
            <v>天竜川</v>
          </cell>
          <cell r="AL1206" t="str">
            <v>浜松市常光浄水場</v>
          </cell>
          <cell r="AN1206">
            <v>6</v>
          </cell>
          <cell r="AO1206" t="str">
            <v>浜松市</v>
          </cell>
          <cell r="AQ1206" t="str">
            <v/>
          </cell>
          <cell r="AR1206" t="str">
            <v>オキシディションディッチ法</v>
          </cell>
          <cell r="AS1206" t="str">
            <v>2221102001</v>
          </cell>
          <cell r="AT1206" t="str">
            <v/>
          </cell>
          <cell r="AU1206" t="str">
            <v>10</v>
          </cell>
          <cell r="AV1206" t="str">
            <v>10</v>
          </cell>
          <cell r="AW1206">
            <v>0</v>
          </cell>
          <cell r="AX1206">
            <v>0</v>
          </cell>
          <cell r="AY1206">
            <v>0</v>
          </cell>
          <cell r="AZ1206">
            <v>0</v>
          </cell>
          <cell r="BA1206">
            <v>0</v>
          </cell>
          <cell r="BD1206" t="str">
            <v/>
          </cell>
          <cell r="BE1206">
            <v>1</v>
          </cell>
          <cell r="BG1206" t="str">
            <v>1100</v>
          </cell>
        </row>
        <row r="1207">
          <cell r="B1207" t="str">
            <v>G222120106100100</v>
          </cell>
          <cell r="C1207" t="str">
            <v>22.静岡県</v>
          </cell>
          <cell r="D1207" t="str">
            <v>212</v>
          </cell>
          <cell r="E1207" t="str">
            <v>焼津市</v>
          </cell>
          <cell r="F1207" t="str">
            <v>01</v>
          </cell>
          <cell r="G1207" t="str">
            <v>公共 単独</v>
          </cell>
          <cell r="H1207" t="str">
            <v>公共下水道</v>
          </cell>
          <cell r="I1207" t="str">
            <v>単独</v>
          </cell>
          <cell r="J1207" t="str">
            <v>001</v>
          </cell>
          <cell r="K1207" t="str">
            <v>汐入下水処理場</v>
          </cell>
          <cell r="M1207" t="str">
            <v>1</v>
          </cell>
          <cell r="N1207" t="str">
            <v>1</v>
          </cell>
          <cell r="Q1207">
            <v>29403</v>
          </cell>
          <cell r="R1207" t="str">
            <v>昭和</v>
          </cell>
          <cell r="S1207">
            <v>55</v>
          </cell>
          <cell r="T1207">
            <v>7</v>
          </cell>
          <cell r="AB1207">
            <v>28300</v>
          </cell>
          <cell r="AC1207" t="str">
            <v>焼津漁港</v>
          </cell>
          <cell r="AD1207" t="str">
            <v>Ｂ</v>
          </cell>
          <cell r="AE1207" t="str">
            <v>イ</v>
          </cell>
          <cell r="AF1207">
            <v>15</v>
          </cell>
          <cell r="AI1207" t="str">
            <v>駿河湾</v>
          </cell>
          <cell r="AQ1207" t="str">
            <v/>
          </cell>
          <cell r="AR1207" t="str">
            <v>標準活性汚泥法</v>
          </cell>
          <cell r="AS1207" t="str">
            <v>2221201001</v>
          </cell>
          <cell r="AT1207" t="str">
            <v/>
          </cell>
          <cell r="AU1207" t="str">
            <v>10</v>
          </cell>
          <cell r="AV1207" t="str">
            <v>10</v>
          </cell>
          <cell r="AW1207">
            <v>0</v>
          </cell>
          <cell r="AX1207">
            <v>0</v>
          </cell>
          <cell r="AY1207">
            <v>0</v>
          </cell>
          <cell r="AZ1207">
            <v>0</v>
          </cell>
          <cell r="BA1207">
            <v>0</v>
          </cell>
          <cell r="BD1207" t="str">
            <v/>
          </cell>
          <cell r="BE1207">
            <v>1</v>
          </cell>
          <cell r="BG1207" t="str">
            <v>1100</v>
          </cell>
        </row>
        <row r="1208">
          <cell r="B1208" t="str">
            <v>G222130106100100</v>
          </cell>
          <cell r="C1208" t="str">
            <v>22.静岡県</v>
          </cell>
          <cell r="D1208" t="str">
            <v>213</v>
          </cell>
          <cell r="E1208" t="str">
            <v>掛川市</v>
          </cell>
          <cell r="F1208" t="str">
            <v>01</v>
          </cell>
          <cell r="G1208" t="str">
            <v>公共 単独</v>
          </cell>
          <cell r="H1208" t="str">
            <v>公共下水道</v>
          </cell>
          <cell r="I1208" t="str">
            <v>単独</v>
          </cell>
          <cell r="J1208" t="str">
            <v>001</v>
          </cell>
          <cell r="K1208" t="str">
            <v>掛川浄化センター</v>
          </cell>
          <cell r="M1208" t="str">
            <v>1</v>
          </cell>
          <cell r="N1208" t="str">
            <v>1</v>
          </cell>
          <cell r="Q1208">
            <v>36951</v>
          </cell>
          <cell r="R1208" t="str">
            <v>平成</v>
          </cell>
          <cell r="S1208">
            <v>13</v>
          </cell>
          <cell r="T1208">
            <v>3</v>
          </cell>
          <cell r="AB1208">
            <v>27000</v>
          </cell>
          <cell r="AC1208" t="str">
            <v>太田川水域</v>
          </cell>
          <cell r="AF1208">
            <v>14</v>
          </cell>
          <cell r="AJ1208" t="str">
            <v>逆川</v>
          </cell>
          <cell r="AQ1208" t="str">
            <v/>
          </cell>
          <cell r="AR1208" t="str">
            <v>標準活性汚泥法</v>
          </cell>
          <cell r="AS1208" t="str">
            <v>2221301001</v>
          </cell>
          <cell r="AT1208" t="str">
            <v/>
          </cell>
          <cell r="AU1208" t="str">
            <v>10</v>
          </cell>
          <cell r="AV1208" t="str">
            <v>10</v>
          </cell>
          <cell r="AW1208">
            <v>0</v>
          </cell>
          <cell r="AX1208">
            <v>0</v>
          </cell>
          <cell r="AY1208">
            <v>0</v>
          </cell>
          <cell r="AZ1208">
            <v>0</v>
          </cell>
          <cell r="BA1208">
            <v>0</v>
          </cell>
          <cell r="BD1208" t="str">
            <v/>
          </cell>
          <cell r="BE1208">
            <v>1</v>
          </cell>
          <cell r="BG1208" t="str">
            <v>1100</v>
          </cell>
        </row>
        <row r="1209">
          <cell r="B1209" t="str">
            <v>G222130106100200</v>
          </cell>
          <cell r="C1209" t="str">
            <v>22.静岡県</v>
          </cell>
          <cell r="D1209" t="str">
            <v>213</v>
          </cell>
          <cell r="E1209" t="str">
            <v>掛川市</v>
          </cell>
          <cell r="F1209" t="str">
            <v>01</v>
          </cell>
          <cell r="G1209" t="str">
            <v>公共 単独</v>
          </cell>
          <cell r="H1209" t="str">
            <v>公共下水道</v>
          </cell>
          <cell r="I1209" t="str">
            <v>単独</v>
          </cell>
          <cell r="J1209" t="str">
            <v>002</v>
          </cell>
          <cell r="K1209" t="str">
            <v>大東浄化センター</v>
          </cell>
          <cell r="M1209" t="str">
            <v>1</v>
          </cell>
          <cell r="N1209" t="str">
            <v>1</v>
          </cell>
          <cell r="Q1209">
            <v>36982</v>
          </cell>
          <cell r="R1209" t="str">
            <v>平成</v>
          </cell>
          <cell r="S1209">
            <v>13</v>
          </cell>
          <cell r="T1209">
            <v>4</v>
          </cell>
          <cell r="AB1209">
            <v>22000</v>
          </cell>
          <cell r="AC1209" t="str">
            <v>榛南小笠水域</v>
          </cell>
          <cell r="AF1209">
            <v>15</v>
          </cell>
          <cell r="AK1209" t="str">
            <v>菊川</v>
          </cell>
          <cell r="AQ1209" t="str">
            <v/>
          </cell>
          <cell r="AR1209" t="str">
            <v>オキシディションディッチ法</v>
          </cell>
          <cell r="AS1209" t="str">
            <v>2221301002</v>
          </cell>
          <cell r="AT1209" t="str">
            <v/>
          </cell>
          <cell r="AU1209" t="str">
            <v>10</v>
          </cell>
          <cell r="AV1209" t="str">
            <v>10</v>
          </cell>
          <cell r="AW1209">
            <v>0</v>
          </cell>
          <cell r="AX1209">
            <v>0</v>
          </cell>
          <cell r="AY1209">
            <v>0</v>
          </cell>
          <cell r="AZ1209">
            <v>0</v>
          </cell>
          <cell r="BA1209">
            <v>0</v>
          </cell>
          <cell r="BD1209" t="str">
            <v/>
          </cell>
          <cell r="BE1209">
            <v>1</v>
          </cell>
          <cell r="BG1209" t="str">
            <v>1100</v>
          </cell>
        </row>
        <row r="1210">
          <cell r="B1210" t="str">
            <v>G222130106100300</v>
          </cell>
          <cell r="C1210" t="str">
            <v>22.静岡県</v>
          </cell>
          <cell r="D1210" t="str">
            <v>213</v>
          </cell>
          <cell r="E1210" t="str">
            <v>掛川市</v>
          </cell>
          <cell r="F1210" t="str">
            <v>01</v>
          </cell>
          <cell r="G1210" t="str">
            <v>公共 単独</v>
          </cell>
          <cell r="H1210" t="str">
            <v>公共下水道</v>
          </cell>
          <cell r="I1210" t="str">
            <v>単独</v>
          </cell>
          <cell r="J1210" t="str">
            <v>003</v>
          </cell>
          <cell r="K1210" t="str">
            <v>大須賀浄化センター</v>
          </cell>
          <cell r="M1210" t="str">
            <v>1</v>
          </cell>
          <cell r="N1210" t="str">
            <v>1</v>
          </cell>
          <cell r="Q1210">
            <v>38443</v>
          </cell>
          <cell r="R1210" t="str">
            <v>平成</v>
          </cell>
          <cell r="S1210">
            <v>17</v>
          </cell>
          <cell r="T1210">
            <v>4</v>
          </cell>
          <cell r="AB1210">
            <v>34000</v>
          </cell>
          <cell r="AC1210" t="str">
            <v>榛南小笠水域</v>
          </cell>
          <cell r="AF1210">
            <v>15</v>
          </cell>
          <cell r="AJ1210" t="str">
            <v>坊主淵川</v>
          </cell>
          <cell r="AQ1210" t="str">
            <v/>
          </cell>
          <cell r="AR1210" t="str">
            <v>オキシディションディッチ法</v>
          </cell>
          <cell r="AS1210" t="str">
            <v>2221301003</v>
          </cell>
          <cell r="AT1210" t="str">
            <v/>
          </cell>
          <cell r="AU1210" t="str">
            <v>10</v>
          </cell>
          <cell r="AV1210" t="str">
            <v>10</v>
          </cell>
          <cell r="AW1210">
            <v>0</v>
          </cell>
          <cell r="AX1210">
            <v>0</v>
          </cell>
          <cell r="AY1210">
            <v>0</v>
          </cell>
          <cell r="AZ1210">
            <v>0</v>
          </cell>
          <cell r="BA1210">
            <v>0</v>
          </cell>
          <cell r="BD1210" t="str">
            <v/>
          </cell>
          <cell r="BE1210">
            <v>1</v>
          </cell>
          <cell r="BG1210" t="str">
            <v>1100</v>
          </cell>
        </row>
        <row r="1211">
          <cell r="B1211" t="str">
            <v>G222140106100100</v>
          </cell>
          <cell r="C1211" t="str">
            <v>22.静岡県</v>
          </cell>
          <cell r="D1211" t="str">
            <v>214</v>
          </cell>
          <cell r="E1211" t="str">
            <v>藤枝市</v>
          </cell>
          <cell r="F1211" t="str">
            <v>01</v>
          </cell>
          <cell r="G1211" t="str">
            <v>公共 単独</v>
          </cell>
          <cell r="H1211" t="str">
            <v>公共下水道</v>
          </cell>
          <cell r="I1211" t="str">
            <v>単独</v>
          </cell>
          <cell r="J1211" t="str">
            <v>001</v>
          </cell>
          <cell r="K1211" t="str">
            <v>藤枝市浄化センター</v>
          </cell>
          <cell r="M1211" t="str">
            <v>1</v>
          </cell>
          <cell r="N1211" t="str">
            <v>1</v>
          </cell>
          <cell r="Q1211">
            <v>31382</v>
          </cell>
          <cell r="R1211" t="str">
            <v>昭和</v>
          </cell>
          <cell r="S1211">
            <v>60</v>
          </cell>
          <cell r="T1211">
            <v>12</v>
          </cell>
          <cell r="AB1211">
            <v>52108</v>
          </cell>
          <cell r="AC1211" t="str">
            <v>志太</v>
          </cell>
          <cell r="AE1211" t="str">
            <v>ハ</v>
          </cell>
          <cell r="AJ1211" t="str">
            <v>瀬戸川</v>
          </cell>
          <cell r="AQ1211" t="str">
            <v/>
          </cell>
          <cell r="AR1211" t="str">
            <v>標準活性汚泥法</v>
          </cell>
          <cell r="AS1211" t="str">
            <v>2221401001</v>
          </cell>
          <cell r="AT1211" t="str">
            <v/>
          </cell>
          <cell r="AU1211" t="str">
            <v>10</v>
          </cell>
          <cell r="AV1211" t="str">
            <v>10</v>
          </cell>
          <cell r="AW1211">
            <v>0</v>
          </cell>
          <cell r="AX1211">
            <v>0</v>
          </cell>
          <cell r="AY1211">
            <v>0</v>
          </cell>
          <cell r="AZ1211">
            <v>0</v>
          </cell>
          <cell r="BA1211">
            <v>0</v>
          </cell>
          <cell r="BD1211" t="str">
            <v/>
          </cell>
          <cell r="BE1211">
            <v>1</v>
          </cell>
          <cell r="BG1211" t="str">
            <v>1100</v>
          </cell>
        </row>
        <row r="1212">
          <cell r="B1212" t="str">
            <v>G222150106100100</v>
          </cell>
          <cell r="C1212" t="str">
            <v>22.静岡県</v>
          </cell>
          <cell r="D1212" t="str">
            <v>215</v>
          </cell>
          <cell r="E1212" t="str">
            <v>御殿場市</v>
          </cell>
          <cell r="F1212" t="str">
            <v>01</v>
          </cell>
          <cell r="G1212" t="str">
            <v>公共 単独</v>
          </cell>
          <cell r="H1212" t="str">
            <v>公共下水道</v>
          </cell>
          <cell r="I1212" t="str">
            <v>単独</v>
          </cell>
          <cell r="J1212" t="str">
            <v>001</v>
          </cell>
          <cell r="K1212" t="str">
            <v>御殿場浄化センター</v>
          </cell>
          <cell r="M1212" t="str">
            <v>1</v>
          </cell>
          <cell r="N1212" t="str">
            <v>1</v>
          </cell>
          <cell r="Q1212">
            <v>34394</v>
          </cell>
          <cell r="R1212" t="str">
            <v>平成</v>
          </cell>
          <cell r="S1212">
            <v>6</v>
          </cell>
          <cell r="T1212">
            <v>3</v>
          </cell>
          <cell r="AB1212">
            <v>37860</v>
          </cell>
          <cell r="AC1212" t="str">
            <v>黄瀬川</v>
          </cell>
          <cell r="AD1212" t="str">
            <v>Ｂ</v>
          </cell>
          <cell r="AK1212" t="str">
            <v>黄瀬川</v>
          </cell>
          <cell r="AQ1212" t="str">
            <v/>
          </cell>
          <cell r="AR1212" t="str">
            <v>標準活性汚泥法</v>
          </cell>
          <cell r="AS1212" t="str">
            <v>2221501001</v>
          </cell>
          <cell r="AT1212" t="str">
            <v/>
          </cell>
          <cell r="AU1212" t="str">
            <v>10</v>
          </cell>
          <cell r="AV1212" t="str">
            <v>10</v>
          </cell>
          <cell r="AW1212">
            <v>0</v>
          </cell>
          <cell r="AX1212">
            <v>0</v>
          </cell>
          <cell r="AY1212">
            <v>0</v>
          </cell>
          <cell r="AZ1212">
            <v>0</v>
          </cell>
          <cell r="BA1212">
            <v>0</v>
          </cell>
          <cell r="BD1212" t="str">
            <v/>
          </cell>
          <cell r="BE1212">
            <v>1</v>
          </cell>
          <cell r="BG1212" t="str">
            <v>1100</v>
          </cell>
        </row>
        <row r="1213">
          <cell r="B1213" t="str">
            <v>G222160106100100</v>
          </cell>
          <cell r="C1213" t="str">
            <v>22.静岡県</v>
          </cell>
          <cell r="D1213" t="str">
            <v>216</v>
          </cell>
          <cell r="E1213" t="str">
            <v>袋井市</v>
          </cell>
          <cell r="F1213" t="str">
            <v>01</v>
          </cell>
          <cell r="G1213" t="str">
            <v>公共 単独</v>
          </cell>
          <cell r="H1213" t="str">
            <v>公共下水道</v>
          </cell>
          <cell r="I1213" t="str">
            <v>単独</v>
          </cell>
          <cell r="J1213" t="str">
            <v>001</v>
          </cell>
          <cell r="K1213" t="str">
            <v>袋井浄化センター</v>
          </cell>
          <cell r="M1213" t="str">
            <v>1</v>
          </cell>
          <cell r="N1213" t="str">
            <v>1</v>
          </cell>
          <cell r="Q1213">
            <v>36251</v>
          </cell>
          <cell r="R1213" t="str">
            <v>平成</v>
          </cell>
          <cell r="S1213">
            <v>11</v>
          </cell>
          <cell r="T1213">
            <v>4</v>
          </cell>
          <cell r="AB1213">
            <v>56747</v>
          </cell>
          <cell r="AC1213" t="str">
            <v>設定なし</v>
          </cell>
          <cell r="AF1213">
            <v>15</v>
          </cell>
          <cell r="AI1213" t="str">
            <v>松橋川</v>
          </cell>
          <cell r="AJ1213" t="str">
            <v>原野谷川</v>
          </cell>
          <cell r="AQ1213" t="str">
            <v/>
          </cell>
          <cell r="AR1213" t="str">
            <v>標準活性汚泥法</v>
          </cell>
          <cell r="AS1213" t="str">
            <v>2221601001</v>
          </cell>
          <cell r="AT1213" t="str">
            <v/>
          </cell>
          <cell r="AU1213" t="str">
            <v>10</v>
          </cell>
          <cell r="AV1213" t="str">
            <v>10</v>
          </cell>
          <cell r="AW1213">
            <v>0</v>
          </cell>
          <cell r="AX1213">
            <v>0</v>
          </cell>
          <cell r="AY1213">
            <v>0</v>
          </cell>
          <cell r="AZ1213">
            <v>0</v>
          </cell>
          <cell r="BA1213">
            <v>0</v>
          </cell>
          <cell r="BD1213" t="str">
            <v/>
          </cell>
          <cell r="BE1213">
            <v>1</v>
          </cell>
          <cell r="BG1213" t="str">
            <v>1100</v>
          </cell>
        </row>
        <row r="1214">
          <cell r="B1214" t="str">
            <v>G222160106100200</v>
          </cell>
          <cell r="C1214" t="str">
            <v>22.静岡県</v>
          </cell>
          <cell r="D1214" t="str">
            <v>216</v>
          </cell>
          <cell r="E1214" t="str">
            <v>袋井市</v>
          </cell>
          <cell r="F1214" t="str">
            <v>01</v>
          </cell>
          <cell r="G1214" t="str">
            <v>公共 単独</v>
          </cell>
          <cell r="H1214" t="str">
            <v>公共下水道</v>
          </cell>
          <cell r="I1214" t="str">
            <v>単独</v>
          </cell>
          <cell r="J1214" t="str">
            <v>002</v>
          </cell>
          <cell r="K1214" t="str">
            <v>アクアパークあさば</v>
          </cell>
          <cell r="M1214" t="str">
            <v>1</v>
          </cell>
          <cell r="N1214" t="str">
            <v>1</v>
          </cell>
          <cell r="Q1214">
            <v>37347</v>
          </cell>
          <cell r="R1214" t="str">
            <v>平成</v>
          </cell>
          <cell r="S1214">
            <v>14</v>
          </cell>
          <cell r="T1214">
            <v>4</v>
          </cell>
          <cell r="AB1214">
            <v>33844</v>
          </cell>
          <cell r="AC1214" t="str">
            <v>設定なし</v>
          </cell>
          <cell r="AF1214">
            <v>15</v>
          </cell>
          <cell r="AI1214" t="str">
            <v>新堀川</v>
          </cell>
          <cell r="AJ1214" t="str">
            <v>弁財天川</v>
          </cell>
          <cell r="AQ1214" t="str">
            <v/>
          </cell>
          <cell r="AR1214" t="str">
            <v>標準活性汚泥法</v>
          </cell>
          <cell r="AS1214" t="str">
            <v>2221601002</v>
          </cell>
          <cell r="AT1214" t="str">
            <v/>
          </cell>
          <cell r="AU1214" t="str">
            <v>10</v>
          </cell>
          <cell r="AV1214" t="str">
            <v>10</v>
          </cell>
          <cell r="AW1214">
            <v>0</v>
          </cell>
          <cell r="AX1214">
            <v>0</v>
          </cell>
          <cell r="AY1214">
            <v>0</v>
          </cell>
          <cell r="AZ1214">
            <v>0</v>
          </cell>
          <cell r="BA1214">
            <v>0</v>
          </cell>
          <cell r="BD1214" t="str">
            <v/>
          </cell>
          <cell r="BE1214">
            <v>1</v>
          </cell>
          <cell r="BG1214" t="str">
            <v>1100</v>
          </cell>
        </row>
        <row r="1215">
          <cell r="B1215" t="str">
            <v>G222190106100100</v>
          </cell>
          <cell r="C1215" t="str">
            <v>22.静岡県</v>
          </cell>
          <cell r="D1215" t="str">
            <v>219</v>
          </cell>
          <cell r="E1215" t="str">
            <v>下田市</v>
          </cell>
          <cell r="F1215" t="str">
            <v>01</v>
          </cell>
          <cell r="G1215" t="str">
            <v>公共 単独</v>
          </cell>
          <cell r="H1215" t="str">
            <v>公共下水道</v>
          </cell>
          <cell r="I1215" t="str">
            <v>単独</v>
          </cell>
          <cell r="J1215" t="str">
            <v>001</v>
          </cell>
          <cell r="K1215" t="str">
            <v>下田浄化センター</v>
          </cell>
          <cell r="M1215" t="str">
            <v>1</v>
          </cell>
          <cell r="N1215" t="str">
            <v>1</v>
          </cell>
          <cell r="Q1215">
            <v>33725</v>
          </cell>
          <cell r="R1215" t="str">
            <v>平成</v>
          </cell>
          <cell r="S1215">
            <v>4</v>
          </cell>
          <cell r="T1215">
            <v>5</v>
          </cell>
          <cell r="AB1215">
            <v>30513</v>
          </cell>
          <cell r="AC1215" t="str">
            <v>伊豆沿岸海域</v>
          </cell>
          <cell r="AD1215" t="str">
            <v>Ａ</v>
          </cell>
          <cell r="AE1215" t="str">
            <v>イ</v>
          </cell>
          <cell r="AI1215" t="str">
            <v>下田港</v>
          </cell>
          <cell r="AQ1215" t="str">
            <v/>
          </cell>
          <cell r="AR1215" t="str">
            <v>標準活性汚泥法</v>
          </cell>
          <cell r="AS1215" t="str">
            <v>2221901001</v>
          </cell>
          <cell r="AT1215" t="str">
            <v/>
          </cell>
          <cell r="AU1215" t="str">
            <v>10</v>
          </cell>
          <cell r="AV1215" t="str">
            <v>10</v>
          </cell>
          <cell r="AW1215">
            <v>0</v>
          </cell>
          <cell r="AX1215">
            <v>0</v>
          </cell>
          <cell r="AY1215">
            <v>0</v>
          </cell>
          <cell r="AZ1215">
            <v>0</v>
          </cell>
          <cell r="BA1215">
            <v>0</v>
          </cell>
          <cell r="BD1215" t="str">
            <v/>
          </cell>
          <cell r="BE1215">
            <v>1</v>
          </cell>
          <cell r="BG1215" t="str">
            <v>1100</v>
          </cell>
        </row>
        <row r="1216">
          <cell r="B1216" t="str">
            <v>G222210106100100</v>
          </cell>
          <cell r="C1216" t="str">
            <v>22.静岡県</v>
          </cell>
          <cell r="D1216" t="str">
            <v>221</v>
          </cell>
          <cell r="E1216" t="str">
            <v>湖西市</v>
          </cell>
          <cell r="F1216" t="str">
            <v>01</v>
          </cell>
          <cell r="G1216" t="str">
            <v>公共 単独</v>
          </cell>
          <cell r="H1216" t="str">
            <v>公共下水道</v>
          </cell>
          <cell r="I1216" t="str">
            <v>単独</v>
          </cell>
          <cell r="J1216" t="str">
            <v>001</v>
          </cell>
          <cell r="K1216" t="str">
            <v>湖西浄化センター</v>
          </cell>
          <cell r="M1216" t="str">
            <v>1</v>
          </cell>
          <cell r="N1216" t="str">
            <v>1</v>
          </cell>
          <cell r="Q1216">
            <v>36957</v>
          </cell>
          <cell r="R1216" t="str">
            <v>平成</v>
          </cell>
          <cell r="S1216">
            <v>13</v>
          </cell>
          <cell r="T1216">
            <v>3</v>
          </cell>
          <cell r="AB1216">
            <v>63800</v>
          </cell>
          <cell r="AC1216" t="str">
            <v>浜名湖水域</v>
          </cell>
          <cell r="AD1216" t="str">
            <v>Ｂ</v>
          </cell>
          <cell r="AE1216" t="str">
            <v>イ</v>
          </cell>
          <cell r="AF1216">
            <v>5</v>
          </cell>
          <cell r="AG1216">
            <v>10</v>
          </cell>
          <cell r="AH1216">
            <v>1</v>
          </cell>
          <cell r="AI1216" t="str">
            <v>都田川（浜名湖）</v>
          </cell>
          <cell r="AQ1216" t="str">
            <v/>
          </cell>
          <cell r="AR1216" t="str">
            <v>循環式硝化脱窒法</v>
          </cell>
          <cell r="AS1216" t="str">
            <v>2222101001</v>
          </cell>
          <cell r="AT1216" t="str">
            <v/>
          </cell>
          <cell r="AU1216" t="str">
            <v>10</v>
          </cell>
          <cell r="AV1216" t="str">
            <v>10</v>
          </cell>
          <cell r="AW1216">
            <v>0</v>
          </cell>
          <cell r="AX1216">
            <v>0</v>
          </cell>
          <cell r="AY1216">
            <v>0</v>
          </cell>
          <cell r="AZ1216">
            <v>0</v>
          </cell>
          <cell r="BA1216">
            <v>0</v>
          </cell>
          <cell r="BD1216" t="str">
            <v/>
          </cell>
          <cell r="BE1216">
            <v>1</v>
          </cell>
          <cell r="BG1216" t="str">
            <v>1100</v>
          </cell>
        </row>
        <row r="1217">
          <cell r="B1217" t="str">
            <v>G222210106100200</v>
          </cell>
          <cell r="C1217" t="str">
            <v>22.静岡県</v>
          </cell>
          <cell r="D1217" t="str">
            <v>221</v>
          </cell>
          <cell r="E1217" t="str">
            <v>湖西市</v>
          </cell>
          <cell r="F1217" t="str">
            <v>01</v>
          </cell>
          <cell r="G1217" t="str">
            <v>公共 単独</v>
          </cell>
          <cell r="H1217" t="str">
            <v>公共下水道</v>
          </cell>
          <cell r="I1217" t="str">
            <v>単独</v>
          </cell>
          <cell r="J1217" t="str">
            <v>002</v>
          </cell>
          <cell r="K1217" t="str">
            <v>新居浄化センター</v>
          </cell>
          <cell r="M1217" t="str">
            <v>1</v>
          </cell>
          <cell r="N1217" t="str">
            <v>1</v>
          </cell>
          <cell r="Q1217">
            <v>36981</v>
          </cell>
          <cell r="R1217" t="str">
            <v>平成</v>
          </cell>
          <cell r="S1217">
            <v>13</v>
          </cell>
          <cell r="T1217">
            <v>3</v>
          </cell>
          <cell r="AB1217">
            <v>34000</v>
          </cell>
          <cell r="AC1217" t="str">
            <v>浜名湖</v>
          </cell>
          <cell r="AD1217" t="str">
            <v>Ａ</v>
          </cell>
          <cell r="AE1217" t="str">
            <v>イ</v>
          </cell>
          <cell r="AF1217">
            <v>8</v>
          </cell>
          <cell r="AG1217">
            <v>17</v>
          </cell>
          <cell r="AH1217">
            <v>3</v>
          </cell>
          <cell r="AI1217" t="str">
            <v>浜名川</v>
          </cell>
          <cell r="AQ1217" t="str">
            <v/>
          </cell>
          <cell r="AR1217" t="str">
            <v>硝化内生脱窒法</v>
          </cell>
          <cell r="AS1217" t="str">
            <v>2222101002</v>
          </cell>
          <cell r="AT1217" t="str">
            <v/>
          </cell>
          <cell r="AU1217" t="str">
            <v>10</v>
          </cell>
          <cell r="AV1217" t="str">
            <v>10</v>
          </cell>
          <cell r="AW1217">
            <v>0</v>
          </cell>
          <cell r="AX1217">
            <v>0</v>
          </cell>
          <cell r="AY1217">
            <v>0</v>
          </cell>
          <cell r="AZ1217">
            <v>0</v>
          </cell>
          <cell r="BA1217">
            <v>0</v>
          </cell>
          <cell r="BD1217" t="str">
            <v/>
          </cell>
          <cell r="BE1217">
            <v>1</v>
          </cell>
          <cell r="BG1217" t="str">
            <v>1100</v>
          </cell>
        </row>
        <row r="1218">
          <cell r="B1218" t="str">
            <v>G222220206100100</v>
          </cell>
          <cell r="C1218" t="str">
            <v>22.静岡県</v>
          </cell>
          <cell r="D1218" t="str">
            <v>222</v>
          </cell>
          <cell r="E1218" t="str">
            <v>伊豆市</v>
          </cell>
          <cell r="F1218" t="str">
            <v>02</v>
          </cell>
          <cell r="G1218" t="str">
            <v>特環 単独</v>
          </cell>
          <cell r="H1218" t="str">
            <v>特定環境保全公共下水道</v>
          </cell>
          <cell r="I1218" t="str">
            <v>単独</v>
          </cell>
          <cell r="J1218" t="str">
            <v>001</v>
          </cell>
          <cell r="K1218" t="str">
            <v>土肥浄化センター</v>
          </cell>
          <cell r="M1218" t="str">
            <v>1</v>
          </cell>
          <cell r="N1218" t="str">
            <v>1</v>
          </cell>
          <cell r="O1218" t="str">
            <v>1</v>
          </cell>
          <cell r="Q1218">
            <v>31503</v>
          </cell>
          <cell r="R1218" t="str">
            <v>昭和</v>
          </cell>
          <cell r="S1218">
            <v>61</v>
          </cell>
          <cell r="T1218">
            <v>4</v>
          </cell>
          <cell r="AB1218">
            <v>14390</v>
          </cell>
          <cell r="AC1218" t="str">
            <v>伊豆沿岸</v>
          </cell>
          <cell r="AD1218" t="str">
            <v>Ａ</v>
          </cell>
          <cell r="AE1218" t="str">
            <v>イ</v>
          </cell>
          <cell r="AF1218">
            <v>15</v>
          </cell>
          <cell r="AI1218" t="str">
            <v>駿河湾</v>
          </cell>
          <cell r="AQ1218" t="str">
            <v/>
          </cell>
          <cell r="AR1218" t="str">
            <v>標準活性汚泥法</v>
          </cell>
          <cell r="AS1218" t="str">
            <v>2222202001</v>
          </cell>
          <cell r="AT1218" t="str">
            <v/>
          </cell>
          <cell r="AU1218" t="str">
            <v>11</v>
          </cell>
          <cell r="AV1218" t="str">
            <v>11</v>
          </cell>
          <cell r="AW1218">
            <v>0</v>
          </cell>
          <cell r="AX1218">
            <v>0</v>
          </cell>
          <cell r="AY1218">
            <v>0</v>
          </cell>
          <cell r="AZ1218">
            <v>0</v>
          </cell>
          <cell r="BA1218">
            <v>0</v>
          </cell>
          <cell r="BD1218" t="str">
            <v/>
          </cell>
          <cell r="BE1218">
            <v>1</v>
          </cell>
          <cell r="BG1218" t="str">
            <v>1110</v>
          </cell>
        </row>
        <row r="1219">
          <cell r="B1219" t="str">
            <v>G222220206100200</v>
          </cell>
          <cell r="C1219" t="str">
            <v>22.静岡県</v>
          </cell>
          <cell r="D1219" t="str">
            <v>222</v>
          </cell>
          <cell r="E1219" t="str">
            <v>伊豆市</v>
          </cell>
          <cell r="F1219" t="str">
            <v>02</v>
          </cell>
          <cell r="G1219" t="str">
            <v>特環 単独</v>
          </cell>
          <cell r="H1219" t="str">
            <v>特定環境保全公共下水道</v>
          </cell>
          <cell r="I1219" t="str">
            <v>単独</v>
          </cell>
          <cell r="J1219" t="str">
            <v>002</v>
          </cell>
          <cell r="K1219" t="str">
            <v>湯ヶ島クリーンセンター</v>
          </cell>
          <cell r="M1219" t="str">
            <v>1</v>
          </cell>
          <cell r="N1219" t="str">
            <v>1</v>
          </cell>
          <cell r="Q1219">
            <v>35156</v>
          </cell>
          <cell r="R1219" t="str">
            <v>平成</v>
          </cell>
          <cell r="S1219">
            <v>8</v>
          </cell>
          <cell r="T1219">
            <v>4</v>
          </cell>
          <cell r="AB1219">
            <v>3300</v>
          </cell>
          <cell r="AC1219" t="str">
            <v>狩野川</v>
          </cell>
          <cell r="AD1219" t="str">
            <v>Ａ</v>
          </cell>
          <cell r="AE1219" t="str">
            <v>イ</v>
          </cell>
          <cell r="AF1219">
            <v>15</v>
          </cell>
          <cell r="AK1219" t="str">
            <v>長野川</v>
          </cell>
          <cell r="AQ1219" t="str">
            <v/>
          </cell>
          <cell r="AR1219" t="str">
            <v>回分式活性汚泥法</v>
          </cell>
          <cell r="AS1219" t="str">
            <v>2222202002</v>
          </cell>
          <cell r="AT1219" t="str">
            <v/>
          </cell>
          <cell r="AU1219" t="str">
            <v>10</v>
          </cell>
          <cell r="AV1219" t="str">
            <v>10</v>
          </cell>
          <cell r="AW1219">
            <v>0</v>
          </cell>
          <cell r="AX1219">
            <v>0</v>
          </cell>
          <cell r="AY1219">
            <v>0</v>
          </cell>
          <cell r="AZ1219">
            <v>0</v>
          </cell>
          <cell r="BA1219">
            <v>0</v>
          </cell>
          <cell r="BD1219" t="str">
            <v/>
          </cell>
          <cell r="BE1219">
            <v>1</v>
          </cell>
          <cell r="BG1219" t="str">
            <v>1100</v>
          </cell>
        </row>
        <row r="1220">
          <cell r="B1220" t="str">
            <v>G222220206100300</v>
          </cell>
          <cell r="C1220" t="str">
            <v>22.静岡県</v>
          </cell>
          <cell r="D1220" t="str">
            <v>222</v>
          </cell>
          <cell r="E1220" t="str">
            <v>伊豆市</v>
          </cell>
          <cell r="F1220" t="str">
            <v>02</v>
          </cell>
          <cell r="G1220" t="str">
            <v>特環 単独</v>
          </cell>
          <cell r="H1220" t="str">
            <v>特定環境保全公共下水道</v>
          </cell>
          <cell r="I1220" t="str">
            <v>単独</v>
          </cell>
          <cell r="J1220" t="str">
            <v>003</v>
          </cell>
          <cell r="K1220" t="str">
            <v>白岩浄化センター</v>
          </cell>
          <cell r="M1220" t="str">
            <v>1</v>
          </cell>
          <cell r="N1220" t="str">
            <v>1</v>
          </cell>
          <cell r="Q1220">
            <v>36251</v>
          </cell>
          <cell r="R1220" t="str">
            <v>平成</v>
          </cell>
          <cell r="S1220">
            <v>11</v>
          </cell>
          <cell r="T1220">
            <v>4</v>
          </cell>
          <cell r="AB1220">
            <v>18500</v>
          </cell>
          <cell r="AC1220" t="str">
            <v>狩野川</v>
          </cell>
          <cell r="AD1220" t="str">
            <v>Ａ</v>
          </cell>
          <cell r="AE1220" t="str">
            <v>イ</v>
          </cell>
          <cell r="AF1220">
            <v>15</v>
          </cell>
          <cell r="AK1220" t="str">
            <v>大見川</v>
          </cell>
          <cell r="AQ1220" t="str">
            <v/>
          </cell>
          <cell r="AR1220" t="str">
            <v>オキシディションディッチ法</v>
          </cell>
          <cell r="AS1220" t="str">
            <v>2222202003</v>
          </cell>
          <cell r="AT1220" t="str">
            <v/>
          </cell>
          <cell r="AU1220" t="str">
            <v>10</v>
          </cell>
          <cell r="AV1220" t="str">
            <v>10</v>
          </cell>
          <cell r="AW1220">
            <v>0</v>
          </cell>
          <cell r="AX1220">
            <v>0</v>
          </cell>
          <cell r="AY1220">
            <v>0</v>
          </cell>
          <cell r="AZ1220">
            <v>0</v>
          </cell>
          <cell r="BA1220">
            <v>0</v>
          </cell>
          <cell r="BD1220" t="str">
            <v/>
          </cell>
          <cell r="BE1220">
            <v>1</v>
          </cell>
          <cell r="BG1220" t="str">
            <v>1100</v>
          </cell>
        </row>
        <row r="1221">
          <cell r="B1221" t="str">
            <v>G222230106100100</v>
          </cell>
          <cell r="C1221" t="str">
            <v>22.静岡県</v>
          </cell>
          <cell r="D1221" t="str">
            <v>223</v>
          </cell>
          <cell r="E1221" t="str">
            <v>御前崎市</v>
          </cell>
          <cell r="F1221" t="str">
            <v>01</v>
          </cell>
          <cell r="G1221" t="str">
            <v>公共 単独</v>
          </cell>
          <cell r="H1221" t="str">
            <v>公共下水道</v>
          </cell>
          <cell r="I1221" t="str">
            <v>単独</v>
          </cell>
          <cell r="J1221" t="str">
            <v>001</v>
          </cell>
          <cell r="K1221" t="str">
            <v>池新田浄化センター</v>
          </cell>
          <cell r="M1221" t="str">
            <v>1</v>
          </cell>
          <cell r="N1221" t="str">
            <v>1</v>
          </cell>
          <cell r="Q1221">
            <v>34790</v>
          </cell>
          <cell r="R1221" t="str">
            <v>平成</v>
          </cell>
          <cell r="S1221">
            <v>7</v>
          </cell>
          <cell r="T1221">
            <v>4</v>
          </cell>
          <cell r="AB1221">
            <v>17500</v>
          </cell>
          <cell r="AC1221" t="str">
            <v>遠州灘</v>
          </cell>
          <cell r="AD1221" t="str">
            <v>Ａ</v>
          </cell>
          <cell r="AE1221" t="str">
            <v>イ</v>
          </cell>
          <cell r="AF1221">
            <v>15</v>
          </cell>
          <cell r="AJ1221" t="str">
            <v>新野川</v>
          </cell>
          <cell r="AQ1221" t="str">
            <v/>
          </cell>
          <cell r="AR1221" t="str">
            <v>オキシディションディッチ法</v>
          </cell>
          <cell r="AS1221" t="str">
            <v>2222301001</v>
          </cell>
          <cell r="AT1221" t="str">
            <v/>
          </cell>
          <cell r="AU1221" t="str">
            <v>10</v>
          </cell>
          <cell r="AV1221" t="str">
            <v>10</v>
          </cell>
          <cell r="AW1221">
            <v>0</v>
          </cell>
          <cell r="AX1221">
            <v>0</v>
          </cell>
          <cell r="AY1221">
            <v>0</v>
          </cell>
          <cell r="AZ1221">
            <v>0</v>
          </cell>
          <cell r="BA1221">
            <v>0</v>
          </cell>
          <cell r="BD1221" t="str">
            <v/>
          </cell>
          <cell r="BE1221">
            <v>1</v>
          </cell>
          <cell r="BG1221" t="str">
            <v>1100</v>
          </cell>
        </row>
        <row r="1222">
          <cell r="B1222" t="str">
            <v>G222230206100200</v>
          </cell>
          <cell r="C1222" t="str">
            <v>22.静岡県</v>
          </cell>
          <cell r="D1222" t="str">
            <v>223</v>
          </cell>
          <cell r="E1222" t="str">
            <v>御前崎市</v>
          </cell>
          <cell r="F1222" t="str">
            <v>02</v>
          </cell>
          <cell r="G1222" t="str">
            <v>特環 単独</v>
          </cell>
          <cell r="H1222" t="str">
            <v>特定環境保全公共下水道</v>
          </cell>
          <cell r="I1222" t="str">
            <v>単独</v>
          </cell>
          <cell r="J1222" t="str">
            <v>002</v>
          </cell>
          <cell r="K1222" t="str">
            <v>高松浄化センター</v>
          </cell>
          <cell r="M1222" t="str">
            <v>1</v>
          </cell>
          <cell r="N1222" t="str">
            <v>1</v>
          </cell>
          <cell r="Q1222">
            <v>36251</v>
          </cell>
          <cell r="R1222" t="str">
            <v>平成</v>
          </cell>
          <cell r="S1222">
            <v>11</v>
          </cell>
          <cell r="T1222">
            <v>4</v>
          </cell>
          <cell r="AB1222">
            <v>17900</v>
          </cell>
          <cell r="AC1222" t="str">
            <v>遠州灘</v>
          </cell>
          <cell r="AD1222" t="str">
            <v>Ａ</v>
          </cell>
          <cell r="AE1222" t="str">
            <v>イ</v>
          </cell>
          <cell r="AF1222">
            <v>15</v>
          </cell>
          <cell r="AI1222" t="str">
            <v>遠州灘</v>
          </cell>
          <cell r="AQ1222" t="str">
            <v/>
          </cell>
          <cell r="AR1222" t="str">
            <v>オキシディションディッチ法</v>
          </cell>
          <cell r="AS1222" t="str">
            <v>2222302002</v>
          </cell>
          <cell r="AT1222" t="str">
            <v/>
          </cell>
          <cell r="AU1222" t="str">
            <v>10</v>
          </cell>
          <cell r="AV1222" t="str">
            <v>10</v>
          </cell>
          <cell r="AW1222">
            <v>0</v>
          </cell>
          <cell r="AX1222">
            <v>0</v>
          </cell>
          <cell r="AY1222">
            <v>0</v>
          </cell>
          <cell r="AZ1222">
            <v>0</v>
          </cell>
          <cell r="BA1222">
            <v>0</v>
          </cell>
          <cell r="BD1222" t="str">
            <v/>
          </cell>
          <cell r="BE1222">
            <v>1</v>
          </cell>
          <cell r="BG1222" t="str">
            <v>1100</v>
          </cell>
        </row>
        <row r="1223">
          <cell r="B1223" t="str">
            <v>G222240106100100</v>
          </cell>
          <cell r="C1223" t="str">
            <v>22.静岡県</v>
          </cell>
          <cell r="D1223" t="str">
            <v>224</v>
          </cell>
          <cell r="E1223" t="str">
            <v>菊川市</v>
          </cell>
          <cell r="F1223" t="str">
            <v>01</v>
          </cell>
          <cell r="G1223" t="str">
            <v>公共 単独</v>
          </cell>
          <cell r="H1223" t="str">
            <v>公共下水道</v>
          </cell>
          <cell r="I1223" t="str">
            <v>単独</v>
          </cell>
          <cell r="J1223" t="str">
            <v>001</v>
          </cell>
          <cell r="K1223" t="str">
            <v>菊川浄化センター</v>
          </cell>
          <cell r="M1223" t="str">
            <v>1</v>
          </cell>
          <cell r="N1223" t="str">
            <v>1</v>
          </cell>
          <cell r="Q1223">
            <v>38412</v>
          </cell>
          <cell r="R1223" t="str">
            <v>平成</v>
          </cell>
          <cell r="S1223">
            <v>17</v>
          </cell>
          <cell r="T1223">
            <v>3</v>
          </cell>
          <cell r="AB1223">
            <v>12220</v>
          </cell>
          <cell r="AC1223" t="str">
            <v>菊川　高田橋</v>
          </cell>
          <cell r="AD1223" t="str">
            <v>Ａ</v>
          </cell>
          <cell r="AE1223" t="str">
            <v>イ</v>
          </cell>
          <cell r="AF1223">
            <v>15</v>
          </cell>
          <cell r="AK1223" t="str">
            <v>西方川</v>
          </cell>
          <cell r="AQ1223" t="str">
            <v/>
          </cell>
          <cell r="AR1223" t="str">
            <v>酸素活性汚泥法</v>
          </cell>
          <cell r="AS1223" t="str">
            <v>2222401001</v>
          </cell>
          <cell r="AT1223" t="str">
            <v/>
          </cell>
          <cell r="AU1223" t="str">
            <v>10</v>
          </cell>
          <cell r="AV1223" t="str">
            <v>10</v>
          </cell>
          <cell r="AW1223">
            <v>0</v>
          </cell>
          <cell r="AX1223">
            <v>0</v>
          </cell>
          <cell r="AY1223">
            <v>0</v>
          </cell>
          <cell r="AZ1223">
            <v>0</v>
          </cell>
          <cell r="BA1223">
            <v>0</v>
          </cell>
          <cell r="BD1223" t="str">
            <v/>
          </cell>
          <cell r="BE1223">
            <v>1</v>
          </cell>
          <cell r="BG1223" t="str">
            <v>1100</v>
          </cell>
        </row>
        <row r="1224">
          <cell r="B1224" t="str">
            <v>G223040106100100</v>
          </cell>
          <cell r="C1224" t="str">
            <v>22.静岡県</v>
          </cell>
          <cell r="D1224" t="str">
            <v>304</v>
          </cell>
          <cell r="E1224" t="str">
            <v>南伊豆町</v>
          </cell>
          <cell r="F1224" t="str">
            <v>01</v>
          </cell>
          <cell r="G1224" t="str">
            <v>公共 単独</v>
          </cell>
          <cell r="H1224" t="str">
            <v>公共下水道</v>
          </cell>
          <cell r="I1224" t="str">
            <v>単独</v>
          </cell>
          <cell r="J1224" t="str">
            <v>001</v>
          </cell>
          <cell r="K1224" t="str">
            <v>南伊豆町クリーンセンター</v>
          </cell>
          <cell r="M1224" t="str">
            <v>1</v>
          </cell>
          <cell r="Q1224">
            <v>36982</v>
          </cell>
          <cell r="R1224" t="str">
            <v>平成</v>
          </cell>
          <cell r="S1224">
            <v>13</v>
          </cell>
          <cell r="T1224">
            <v>4</v>
          </cell>
          <cell r="AB1224">
            <v>8969</v>
          </cell>
          <cell r="AC1224" t="str">
            <v>伊豆水域</v>
          </cell>
          <cell r="AD1224" t="str">
            <v>Ａ</v>
          </cell>
          <cell r="AE1224" t="str">
            <v>イ</v>
          </cell>
          <cell r="AF1224">
            <v>15</v>
          </cell>
          <cell r="AJ1224" t="str">
            <v>青野川</v>
          </cell>
          <cell r="AM1224">
            <v>3.5</v>
          </cell>
          <cell r="AQ1224" t="str">
            <v/>
          </cell>
          <cell r="AR1224" t="str">
            <v>嫌気好気ろ床法</v>
          </cell>
          <cell r="AS1224" t="str">
            <v>2230401001</v>
          </cell>
          <cell r="AT1224">
            <v>1</v>
          </cell>
          <cell r="AU1224" t="str">
            <v>00</v>
          </cell>
          <cell r="AV1224" t="str">
            <v>00</v>
          </cell>
          <cell r="AW1224">
            <v>0</v>
          </cell>
          <cell r="AX1224">
            <v>0</v>
          </cell>
          <cell r="AY1224">
            <v>0</v>
          </cell>
          <cell r="AZ1224">
            <v>0</v>
          </cell>
          <cell r="BA1224">
            <v>0</v>
          </cell>
          <cell r="BD1224" t="str">
            <v/>
          </cell>
          <cell r="BE1224">
            <v>1</v>
          </cell>
          <cell r="BG1224" t="str">
            <v>1000</v>
          </cell>
        </row>
        <row r="1225">
          <cell r="B1225" t="str">
            <v>G223440106100100</v>
          </cell>
          <cell r="C1225" t="str">
            <v>22.静岡県</v>
          </cell>
          <cell r="D1225" t="str">
            <v>344</v>
          </cell>
          <cell r="E1225" t="str">
            <v>小山町</v>
          </cell>
          <cell r="F1225" t="str">
            <v>01</v>
          </cell>
          <cell r="G1225" t="str">
            <v>公共 単独</v>
          </cell>
          <cell r="H1225" t="str">
            <v>公共下水道</v>
          </cell>
          <cell r="I1225" t="str">
            <v>単独</v>
          </cell>
          <cell r="J1225" t="str">
            <v>001</v>
          </cell>
          <cell r="K1225" t="str">
            <v>須走浄化センター</v>
          </cell>
          <cell r="M1225" t="str">
            <v>1</v>
          </cell>
          <cell r="N1225" t="str">
            <v>1</v>
          </cell>
          <cell r="Q1225">
            <v>36251</v>
          </cell>
          <cell r="R1225" t="str">
            <v>平成</v>
          </cell>
          <cell r="S1225">
            <v>11</v>
          </cell>
          <cell r="T1225">
            <v>4</v>
          </cell>
          <cell r="AB1225">
            <v>26160</v>
          </cell>
          <cell r="AC1225" t="str">
            <v>鮎沢川</v>
          </cell>
          <cell r="AD1225" t="str">
            <v>Ａ</v>
          </cell>
          <cell r="AE1225" t="str">
            <v>イ</v>
          </cell>
          <cell r="AI1225" t="str">
            <v>小山佐野川</v>
          </cell>
          <cell r="AJ1225" t="str">
            <v>小山佐野川</v>
          </cell>
          <cell r="AQ1225" t="str">
            <v/>
          </cell>
          <cell r="AR1225" t="str">
            <v>オキシディションディッチ法</v>
          </cell>
          <cell r="AS1225" t="str">
            <v>2234401001</v>
          </cell>
          <cell r="AT1225" t="str">
            <v/>
          </cell>
          <cell r="AU1225" t="str">
            <v>10</v>
          </cell>
          <cell r="AV1225" t="str">
            <v>10</v>
          </cell>
          <cell r="AW1225">
            <v>0</v>
          </cell>
          <cell r="AX1225">
            <v>0</v>
          </cell>
          <cell r="AY1225">
            <v>0</v>
          </cell>
          <cell r="AZ1225">
            <v>0</v>
          </cell>
          <cell r="BA1225">
            <v>0</v>
          </cell>
          <cell r="BD1225" t="str">
            <v/>
          </cell>
          <cell r="BE1225">
            <v>1</v>
          </cell>
          <cell r="BG1225" t="str">
            <v>1100</v>
          </cell>
        </row>
        <row r="1226">
          <cell r="B1226" t="str">
            <v>G224240106100100</v>
          </cell>
          <cell r="C1226" t="str">
            <v>22.静岡県</v>
          </cell>
          <cell r="D1226" t="str">
            <v>424</v>
          </cell>
          <cell r="E1226" t="str">
            <v>吉田町</v>
          </cell>
          <cell r="F1226" t="str">
            <v>01</v>
          </cell>
          <cell r="G1226" t="str">
            <v>公共 単独</v>
          </cell>
          <cell r="H1226" t="str">
            <v>公共下水道</v>
          </cell>
          <cell r="I1226" t="str">
            <v>単独</v>
          </cell>
          <cell r="J1226" t="str">
            <v>001</v>
          </cell>
          <cell r="K1226" t="str">
            <v>吉田浄化センター</v>
          </cell>
          <cell r="M1226" t="str">
            <v>1</v>
          </cell>
          <cell r="N1226" t="str">
            <v>1</v>
          </cell>
          <cell r="Q1226">
            <v>34759</v>
          </cell>
          <cell r="R1226" t="str">
            <v>平成</v>
          </cell>
          <cell r="S1226">
            <v>7</v>
          </cell>
          <cell r="T1226">
            <v>3</v>
          </cell>
          <cell r="AB1226">
            <v>2300</v>
          </cell>
          <cell r="AC1226" t="str">
            <v>榛南小笠水域</v>
          </cell>
          <cell r="AD1226" t="str">
            <v>Ｂ</v>
          </cell>
          <cell r="AE1226" t="str">
            <v>ロ</v>
          </cell>
          <cell r="AF1226">
            <v>15</v>
          </cell>
          <cell r="AJ1226" t="str">
            <v>坂口谷川</v>
          </cell>
          <cell r="AQ1226" t="str">
            <v/>
          </cell>
          <cell r="AR1226" t="str">
            <v>標準活性汚泥法</v>
          </cell>
          <cell r="AS1226" t="str">
            <v>2242401001</v>
          </cell>
          <cell r="AT1226" t="str">
            <v/>
          </cell>
          <cell r="AU1226" t="str">
            <v>10</v>
          </cell>
          <cell r="AV1226" t="str">
            <v>10</v>
          </cell>
          <cell r="AW1226">
            <v>0</v>
          </cell>
          <cell r="AX1226">
            <v>0</v>
          </cell>
          <cell r="AY1226">
            <v>0</v>
          </cell>
          <cell r="AZ1226">
            <v>0</v>
          </cell>
          <cell r="BA1226">
            <v>0</v>
          </cell>
          <cell r="BD1226" t="str">
            <v/>
          </cell>
          <cell r="BE1226">
            <v>1</v>
          </cell>
          <cell r="BG1226" t="str">
            <v>1100</v>
          </cell>
        </row>
        <row r="1227">
          <cell r="B1227" t="str">
            <v>G224610106100100</v>
          </cell>
          <cell r="C1227" t="str">
            <v>22.静岡県</v>
          </cell>
          <cell r="D1227" t="str">
            <v>461</v>
          </cell>
          <cell r="E1227" t="str">
            <v>森町</v>
          </cell>
          <cell r="F1227" t="str">
            <v>01</v>
          </cell>
          <cell r="G1227" t="str">
            <v>公共 単独</v>
          </cell>
          <cell r="H1227" t="str">
            <v>公共下水道</v>
          </cell>
          <cell r="I1227" t="str">
            <v>単独</v>
          </cell>
          <cell r="J1227" t="str">
            <v>001</v>
          </cell>
          <cell r="K1227" t="str">
            <v>森町浄化センター</v>
          </cell>
          <cell r="M1227" t="str">
            <v>1</v>
          </cell>
          <cell r="Q1227">
            <v>39873</v>
          </cell>
          <cell r="R1227" t="str">
            <v>平成</v>
          </cell>
          <cell r="S1227">
            <v>21</v>
          </cell>
          <cell r="T1227">
            <v>3</v>
          </cell>
          <cell r="AB1227">
            <v>11861</v>
          </cell>
          <cell r="AC1227" t="str">
            <v>太田川上流</v>
          </cell>
          <cell r="AD1227" t="str">
            <v>Ａ</v>
          </cell>
          <cell r="AE1227" t="str">
            <v>イ</v>
          </cell>
          <cell r="AF1227">
            <v>15</v>
          </cell>
          <cell r="AI1227" t="str">
            <v>準用河川第2小藪側</v>
          </cell>
          <cell r="AQ1227" t="str">
            <v/>
          </cell>
          <cell r="AR1227" t="str">
            <v>嫌気好気ろ床法</v>
          </cell>
          <cell r="AS1227" t="str">
            <v>2246101001</v>
          </cell>
          <cell r="AT1227">
            <v>1</v>
          </cell>
          <cell r="AU1227" t="str">
            <v>00</v>
          </cell>
          <cell r="AV1227" t="str">
            <v>00</v>
          </cell>
          <cell r="AW1227">
            <v>0</v>
          </cell>
          <cell r="AX1227">
            <v>0</v>
          </cell>
          <cell r="AY1227">
            <v>0</v>
          </cell>
          <cell r="AZ1227">
            <v>0</v>
          </cell>
          <cell r="BA1227">
            <v>0</v>
          </cell>
          <cell r="BD1227" t="str">
            <v/>
          </cell>
          <cell r="BE1227">
            <v>1</v>
          </cell>
          <cell r="BG1227" t="str">
            <v>1000</v>
          </cell>
        </row>
        <row r="1228">
          <cell r="B1228" t="str">
            <v>G230018106100100</v>
          </cell>
          <cell r="C1228" t="str">
            <v>23.愛知県</v>
          </cell>
          <cell r="D1228" t="str">
            <v>001</v>
          </cell>
          <cell r="E1228" t="str">
            <v>矢作川・境川流域</v>
          </cell>
          <cell r="F1228" t="str">
            <v>81</v>
          </cell>
          <cell r="G1228" t="str">
            <v>流域</v>
          </cell>
          <cell r="H1228" t="str">
            <v>流域下水道</v>
          </cell>
          <cell r="I1228" t="str">
            <v/>
          </cell>
          <cell r="J1228" t="str">
            <v>001</v>
          </cell>
          <cell r="K1228" t="str">
            <v>矢作川浄化センター</v>
          </cell>
          <cell r="M1228" t="str">
            <v>1</v>
          </cell>
          <cell r="N1228" t="str">
            <v>1</v>
          </cell>
          <cell r="Q1228">
            <v>33695</v>
          </cell>
          <cell r="R1228" t="str">
            <v>平成</v>
          </cell>
          <cell r="S1228">
            <v>4</v>
          </cell>
          <cell r="T1228">
            <v>4</v>
          </cell>
          <cell r="AB1228">
            <v>611176</v>
          </cell>
          <cell r="AC1228" t="str">
            <v>矢作川下流</v>
          </cell>
          <cell r="AD1228" t="str">
            <v>Ｂ</v>
          </cell>
          <cell r="AE1228" t="str">
            <v>イ</v>
          </cell>
          <cell r="AF1228">
            <v>10</v>
          </cell>
          <cell r="AG1228">
            <v>10</v>
          </cell>
          <cell r="AH1228">
            <v>1</v>
          </cell>
          <cell r="AK1228" t="str">
            <v>矢作川</v>
          </cell>
          <cell r="AL1228" t="str">
            <v>志貴野水源送水場</v>
          </cell>
          <cell r="AM1228">
            <v>13</v>
          </cell>
          <cell r="AO1228" t="str">
            <v>西尾幡豆広域連合</v>
          </cell>
          <cell r="AQ1228" t="str">
            <v/>
          </cell>
          <cell r="AR1228" t="str">
            <v>ステップ流入式多段硝化脱窒法</v>
          </cell>
          <cell r="AS1228" t="str">
            <v>2300181001</v>
          </cell>
          <cell r="AT1228" t="str">
            <v/>
          </cell>
          <cell r="AU1228" t="str">
            <v>10</v>
          </cell>
          <cell r="AV1228" t="str">
            <v>10</v>
          </cell>
          <cell r="AW1228">
            <v>0</v>
          </cell>
          <cell r="AX1228">
            <v>0</v>
          </cell>
          <cell r="AY1228">
            <v>0</v>
          </cell>
          <cell r="AZ1228">
            <v>0</v>
          </cell>
          <cell r="BA1228">
            <v>0</v>
          </cell>
          <cell r="BD1228" t="str">
            <v/>
          </cell>
          <cell r="BE1228">
            <v>1</v>
          </cell>
          <cell r="BG1228" t="str">
            <v>1100</v>
          </cell>
        </row>
        <row r="1229">
          <cell r="B1229" t="str">
            <v>G230018106100200</v>
          </cell>
          <cell r="C1229" t="str">
            <v>23.愛知県</v>
          </cell>
          <cell r="D1229" t="str">
            <v>001</v>
          </cell>
          <cell r="E1229" t="str">
            <v>矢作川・境川流域</v>
          </cell>
          <cell r="F1229" t="str">
            <v>81</v>
          </cell>
          <cell r="G1229" t="str">
            <v>流域</v>
          </cell>
          <cell r="H1229" t="str">
            <v>流域下水道</v>
          </cell>
          <cell r="I1229" t="str">
            <v/>
          </cell>
          <cell r="J1229" t="str">
            <v>002</v>
          </cell>
          <cell r="K1229" t="str">
            <v>境川浄化センター</v>
          </cell>
          <cell r="M1229" t="str">
            <v>1</v>
          </cell>
          <cell r="N1229" t="str">
            <v>1</v>
          </cell>
          <cell r="O1229" t="str">
            <v>1</v>
          </cell>
          <cell r="Q1229">
            <v>32599</v>
          </cell>
          <cell r="R1229" t="str">
            <v>平成</v>
          </cell>
          <cell r="S1229">
            <v>1</v>
          </cell>
          <cell r="T1229">
            <v>4</v>
          </cell>
          <cell r="AB1229">
            <v>322991</v>
          </cell>
          <cell r="AC1229" t="str">
            <v>衣浦港</v>
          </cell>
          <cell r="AD1229" t="str">
            <v>Ｃ</v>
          </cell>
          <cell r="AE1229" t="str">
            <v>ロ</v>
          </cell>
          <cell r="AF1229">
            <v>15</v>
          </cell>
          <cell r="AG1229">
            <v>10</v>
          </cell>
          <cell r="AH1229">
            <v>1</v>
          </cell>
          <cell r="AI1229" t="str">
            <v>衣浦港</v>
          </cell>
          <cell r="AQ1229" t="str">
            <v/>
          </cell>
          <cell r="AR1229" t="str">
            <v>その他処理方法</v>
          </cell>
          <cell r="AS1229" t="str">
            <v>2300181002</v>
          </cell>
          <cell r="AT1229" t="str">
            <v/>
          </cell>
          <cell r="AU1229" t="str">
            <v>11</v>
          </cell>
          <cell r="AV1229" t="str">
            <v>11</v>
          </cell>
          <cell r="AW1229">
            <v>0</v>
          </cell>
          <cell r="AX1229">
            <v>0</v>
          </cell>
          <cell r="AY1229">
            <v>0</v>
          </cell>
          <cell r="AZ1229">
            <v>0</v>
          </cell>
          <cell r="BA1229">
            <v>0</v>
          </cell>
          <cell r="BD1229" t="str">
            <v/>
          </cell>
          <cell r="BE1229">
            <v>1</v>
          </cell>
          <cell r="BG1229" t="str">
            <v>1110</v>
          </cell>
        </row>
        <row r="1230">
          <cell r="B1230" t="str">
            <v>G230018106100300</v>
          </cell>
          <cell r="C1230" t="str">
            <v>23.愛知県</v>
          </cell>
          <cell r="D1230" t="str">
            <v>001</v>
          </cell>
          <cell r="E1230" t="str">
            <v>矢作川・境川流域</v>
          </cell>
          <cell r="F1230" t="str">
            <v>81</v>
          </cell>
          <cell r="G1230" t="str">
            <v>流域</v>
          </cell>
          <cell r="H1230" t="str">
            <v>流域下水道</v>
          </cell>
          <cell r="I1230" t="str">
            <v/>
          </cell>
          <cell r="J1230" t="str">
            <v>003</v>
          </cell>
          <cell r="K1230" t="str">
            <v>衣浦西部浄化センター</v>
          </cell>
          <cell r="M1230" t="str">
            <v>1</v>
          </cell>
          <cell r="N1230" t="str">
            <v>1</v>
          </cell>
          <cell r="P1230" t="str">
            <v>1</v>
          </cell>
          <cell r="Q1230">
            <v>33329</v>
          </cell>
          <cell r="R1230" t="str">
            <v>平成</v>
          </cell>
          <cell r="S1230">
            <v>3</v>
          </cell>
          <cell r="T1230">
            <v>4</v>
          </cell>
          <cell r="AB1230">
            <v>217800</v>
          </cell>
          <cell r="AC1230" t="str">
            <v>衣浦港南部</v>
          </cell>
          <cell r="AD1230" t="str">
            <v>Ｃ</v>
          </cell>
          <cell r="AE1230" t="str">
            <v>ロ</v>
          </cell>
          <cell r="AF1230">
            <v>15</v>
          </cell>
          <cell r="AG1230">
            <v>17.100000000000001</v>
          </cell>
          <cell r="AH1230">
            <v>1</v>
          </cell>
          <cell r="AI1230" t="str">
            <v>衣浦港</v>
          </cell>
          <cell r="AQ1230" t="str">
            <v/>
          </cell>
          <cell r="AR1230" t="str">
            <v>嫌気無酸素好気法</v>
          </cell>
          <cell r="AS1230" t="str">
            <v>2300181003</v>
          </cell>
          <cell r="AT1230" t="str">
            <v/>
          </cell>
          <cell r="AU1230" t="str">
            <v>10</v>
          </cell>
          <cell r="AV1230" t="str">
            <v>10</v>
          </cell>
          <cell r="AW1230">
            <v>1</v>
          </cell>
          <cell r="AX1230">
            <v>0</v>
          </cell>
          <cell r="AY1230">
            <v>0</v>
          </cell>
          <cell r="AZ1230">
            <v>0</v>
          </cell>
          <cell r="BA1230">
            <v>0</v>
          </cell>
          <cell r="BD1230" t="str">
            <v/>
          </cell>
          <cell r="BE1230">
            <v>1</v>
          </cell>
          <cell r="BG1230" t="str">
            <v>1101</v>
          </cell>
        </row>
        <row r="1231">
          <cell r="B1231" t="str">
            <v>G230018106100400</v>
          </cell>
          <cell r="C1231" t="str">
            <v>23.愛知県</v>
          </cell>
          <cell r="D1231" t="str">
            <v>001</v>
          </cell>
          <cell r="E1231" t="str">
            <v>矢作川・境川流域</v>
          </cell>
          <cell r="F1231" t="str">
            <v>81</v>
          </cell>
          <cell r="G1231" t="str">
            <v>流域</v>
          </cell>
          <cell r="H1231" t="str">
            <v>流域下水道</v>
          </cell>
          <cell r="I1231" t="str">
            <v/>
          </cell>
          <cell r="J1231" t="str">
            <v>004</v>
          </cell>
          <cell r="K1231" t="str">
            <v>衣浦東部浄化センター</v>
          </cell>
          <cell r="M1231" t="str">
            <v>1</v>
          </cell>
          <cell r="N1231" t="str">
            <v>1</v>
          </cell>
          <cell r="P1231" t="str">
            <v>1</v>
          </cell>
          <cell r="Q1231">
            <v>35156</v>
          </cell>
          <cell r="R1231" t="str">
            <v>平成</v>
          </cell>
          <cell r="S1231">
            <v>8</v>
          </cell>
          <cell r="T1231">
            <v>4</v>
          </cell>
          <cell r="AB1231">
            <v>88600</v>
          </cell>
          <cell r="AC1231" t="str">
            <v>衣浦港</v>
          </cell>
          <cell r="AD1231" t="str">
            <v>Ｃ</v>
          </cell>
          <cell r="AE1231" t="str">
            <v>ロ</v>
          </cell>
          <cell r="AF1231">
            <v>15</v>
          </cell>
          <cell r="AG1231">
            <v>10</v>
          </cell>
          <cell r="AH1231">
            <v>1</v>
          </cell>
          <cell r="AI1231" t="str">
            <v>衣浦港</v>
          </cell>
          <cell r="AQ1231" t="str">
            <v/>
          </cell>
          <cell r="AR1231" t="str">
            <v>ステップ流入式多段硝化脱窒法</v>
          </cell>
          <cell r="AS1231" t="str">
            <v>2300181004</v>
          </cell>
          <cell r="AT1231" t="str">
            <v/>
          </cell>
          <cell r="AU1231" t="str">
            <v>10</v>
          </cell>
          <cell r="AV1231" t="str">
            <v>10</v>
          </cell>
          <cell r="AW1231">
            <v>1</v>
          </cell>
          <cell r="AX1231">
            <v>0</v>
          </cell>
          <cell r="AY1231">
            <v>0</v>
          </cell>
          <cell r="AZ1231">
            <v>0</v>
          </cell>
          <cell r="BA1231">
            <v>0</v>
          </cell>
          <cell r="BD1231" t="str">
            <v/>
          </cell>
          <cell r="BE1231">
            <v>1</v>
          </cell>
          <cell r="BG1231" t="str">
            <v>1101</v>
          </cell>
        </row>
        <row r="1232">
          <cell r="B1232" t="str">
            <v>G230028106100100</v>
          </cell>
          <cell r="C1232" t="str">
            <v>23.愛知県</v>
          </cell>
          <cell r="D1232" t="str">
            <v>002</v>
          </cell>
          <cell r="E1232" t="str">
            <v>豊川流域</v>
          </cell>
          <cell r="F1232" t="str">
            <v>81</v>
          </cell>
          <cell r="G1232" t="str">
            <v>流域</v>
          </cell>
          <cell r="H1232" t="str">
            <v>流域下水道</v>
          </cell>
          <cell r="I1232" t="str">
            <v/>
          </cell>
          <cell r="J1232" t="str">
            <v>001</v>
          </cell>
          <cell r="K1232" t="str">
            <v>豊川浄化センター</v>
          </cell>
          <cell r="M1232" t="str">
            <v>1</v>
          </cell>
          <cell r="N1232" t="str">
            <v>1</v>
          </cell>
          <cell r="P1232" t="str">
            <v>1</v>
          </cell>
          <cell r="Q1232">
            <v>29556</v>
          </cell>
          <cell r="R1232" t="str">
            <v>昭和</v>
          </cell>
          <cell r="S1232">
            <v>55</v>
          </cell>
          <cell r="T1232">
            <v>12</v>
          </cell>
          <cell r="AB1232">
            <v>359873</v>
          </cell>
          <cell r="AC1232" t="str">
            <v>渥美湾（甲）</v>
          </cell>
          <cell r="AD1232" t="str">
            <v>Ｂ</v>
          </cell>
          <cell r="AE1232" t="str">
            <v>イ</v>
          </cell>
          <cell r="AF1232">
            <v>10</v>
          </cell>
          <cell r="AG1232">
            <v>10</v>
          </cell>
          <cell r="AH1232">
            <v>1</v>
          </cell>
          <cell r="AI1232" t="str">
            <v>豊川市地先海域</v>
          </cell>
          <cell r="AQ1232" t="str">
            <v/>
          </cell>
          <cell r="AR1232" t="str">
            <v>標準活性汚泥法</v>
          </cell>
          <cell r="AS1232" t="str">
            <v>2300281001</v>
          </cell>
          <cell r="AT1232" t="str">
            <v/>
          </cell>
          <cell r="AU1232" t="str">
            <v>10</v>
          </cell>
          <cell r="AV1232" t="str">
            <v>10</v>
          </cell>
          <cell r="AW1232">
            <v>1</v>
          </cell>
          <cell r="AX1232">
            <v>0</v>
          </cell>
          <cell r="AY1232">
            <v>0</v>
          </cell>
          <cell r="AZ1232">
            <v>0</v>
          </cell>
          <cell r="BA1232">
            <v>0</v>
          </cell>
          <cell r="BD1232" t="str">
            <v/>
          </cell>
          <cell r="BE1232">
            <v>1</v>
          </cell>
          <cell r="BG1232" t="str">
            <v>1101</v>
          </cell>
        </row>
        <row r="1233">
          <cell r="B1233" t="str">
            <v>G230038106100100</v>
          </cell>
          <cell r="C1233" t="str">
            <v>23.愛知県</v>
          </cell>
          <cell r="D1233" t="str">
            <v>003</v>
          </cell>
          <cell r="E1233" t="str">
            <v>五条川左岸流域</v>
          </cell>
          <cell r="F1233" t="str">
            <v>81</v>
          </cell>
          <cell r="G1233" t="str">
            <v>流域</v>
          </cell>
          <cell r="H1233" t="str">
            <v>流域下水道</v>
          </cell>
          <cell r="I1233" t="str">
            <v/>
          </cell>
          <cell r="J1233" t="str">
            <v>001</v>
          </cell>
          <cell r="K1233" t="str">
            <v>五条川左岸浄化センター</v>
          </cell>
          <cell r="M1233" t="str">
            <v>1</v>
          </cell>
          <cell r="N1233" t="str">
            <v>1</v>
          </cell>
          <cell r="O1233" t="str">
            <v>1</v>
          </cell>
          <cell r="P1233" t="str">
            <v>1</v>
          </cell>
          <cell r="Q1233">
            <v>31868</v>
          </cell>
          <cell r="R1233" t="str">
            <v>昭和</v>
          </cell>
          <cell r="S1233">
            <v>62</v>
          </cell>
          <cell r="T1233">
            <v>4</v>
          </cell>
          <cell r="AB1233">
            <v>100720</v>
          </cell>
          <cell r="AC1233" t="str">
            <v>五条川下流待合橋</v>
          </cell>
          <cell r="AD1233" t="str">
            <v>Ｅ</v>
          </cell>
          <cell r="AE1233" t="str">
            <v>イ</v>
          </cell>
          <cell r="AF1233">
            <v>15</v>
          </cell>
          <cell r="AG1233">
            <v>10</v>
          </cell>
          <cell r="AH1233">
            <v>1</v>
          </cell>
          <cell r="AK1233" t="str">
            <v>巾下川</v>
          </cell>
          <cell r="AQ1233" t="str">
            <v/>
          </cell>
          <cell r="AR1233" t="str">
            <v>ステップ流入式多段硝化脱窒法</v>
          </cell>
          <cell r="AS1233" t="str">
            <v>2300381001</v>
          </cell>
          <cell r="AT1233" t="str">
            <v/>
          </cell>
          <cell r="AU1233" t="str">
            <v>11</v>
          </cell>
          <cell r="AV1233" t="str">
            <v>10</v>
          </cell>
          <cell r="AW1233">
            <v>1</v>
          </cell>
          <cell r="AX1233">
            <v>0</v>
          </cell>
          <cell r="AY1233">
            <v>-1</v>
          </cell>
          <cell r="AZ1233">
            <v>0</v>
          </cell>
          <cell r="BA1233">
            <v>1</v>
          </cell>
          <cell r="BC1233" t="str">
            <v>コンポスト休止</v>
          </cell>
          <cell r="BD1233" t="str">
            <v>コンポスト休止</v>
          </cell>
          <cell r="BE1233">
            <v>1</v>
          </cell>
          <cell r="BG1233" t="str">
            <v>1111</v>
          </cell>
        </row>
        <row r="1234">
          <cell r="B1234" t="str">
            <v>G230048106100100</v>
          </cell>
          <cell r="C1234" t="str">
            <v>23.愛知県</v>
          </cell>
          <cell r="D1234" t="str">
            <v>004</v>
          </cell>
          <cell r="E1234" t="str">
            <v>日光川上流流域</v>
          </cell>
          <cell r="F1234" t="str">
            <v>81</v>
          </cell>
          <cell r="G1234" t="str">
            <v>流域</v>
          </cell>
          <cell r="H1234" t="str">
            <v>流域下水道</v>
          </cell>
          <cell r="I1234" t="str">
            <v/>
          </cell>
          <cell r="J1234" t="str">
            <v>001</v>
          </cell>
          <cell r="K1234" t="str">
            <v>日光川上流浄化センター</v>
          </cell>
          <cell r="M1234" t="str">
            <v>1</v>
          </cell>
          <cell r="N1234" t="str">
            <v>1</v>
          </cell>
          <cell r="P1234" t="str">
            <v>1</v>
          </cell>
          <cell r="Q1234">
            <v>36617</v>
          </cell>
          <cell r="R1234" t="str">
            <v>平成</v>
          </cell>
          <cell r="S1234">
            <v>12</v>
          </cell>
          <cell r="T1234">
            <v>4</v>
          </cell>
          <cell r="AB1234">
            <v>144900</v>
          </cell>
          <cell r="AC1234" t="str">
            <v>庄内川等水域</v>
          </cell>
          <cell r="AD1234" t="str">
            <v>Ｅ</v>
          </cell>
          <cell r="AE1234" t="str">
            <v>ハ</v>
          </cell>
          <cell r="AF1234">
            <v>15</v>
          </cell>
          <cell r="AG1234">
            <v>10</v>
          </cell>
          <cell r="AH1234">
            <v>1</v>
          </cell>
          <cell r="AJ1234" t="str">
            <v>日光川</v>
          </cell>
          <cell r="AQ1234" t="str">
            <v/>
          </cell>
          <cell r="AR1234" t="str">
            <v>ステップ流入式多段硝化脱窒法</v>
          </cell>
          <cell r="AS1234" t="str">
            <v>2300481001</v>
          </cell>
          <cell r="AT1234" t="str">
            <v/>
          </cell>
          <cell r="AU1234" t="str">
            <v>10</v>
          </cell>
          <cell r="AV1234" t="str">
            <v>10</v>
          </cell>
          <cell r="AW1234">
            <v>1</v>
          </cell>
          <cell r="AX1234">
            <v>0</v>
          </cell>
          <cell r="AY1234">
            <v>0</v>
          </cell>
          <cell r="AZ1234">
            <v>0</v>
          </cell>
          <cell r="BA1234">
            <v>0</v>
          </cell>
          <cell r="BD1234" t="str">
            <v/>
          </cell>
          <cell r="BE1234">
            <v>1</v>
          </cell>
          <cell r="BG1234" t="str">
            <v>1101</v>
          </cell>
        </row>
        <row r="1235">
          <cell r="B1235" t="str">
            <v>G230058106100100</v>
          </cell>
          <cell r="C1235" t="str">
            <v>23.愛知県</v>
          </cell>
          <cell r="D1235" t="str">
            <v>005</v>
          </cell>
          <cell r="E1235" t="str">
            <v>五条川右岸流域</v>
          </cell>
          <cell r="F1235" t="str">
            <v>81</v>
          </cell>
          <cell r="G1235" t="str">
            <v>流域</v>
          </cell>
          <cell r="H1235" t="str">
            <v>流域下水道</v>
          </cell>
          <cell r="I1235" t="str">
            <v/>
          </cell>
          <cell r="J1235" t="str">
            <v>001</v>
          </cell>
          <cell r="K1235" t="str">
            <v>五条川右岸浄化センター</v>
          </cell>
          <cell r="M1235" t="str">
            <v>1</v>
          </cell>
          <cell r="N1235" t="str">
            <v>1</v>
          </cell>
          <cell r="Q1235">
            <v>36982</v>
          </cell>
          <cell r="R1235" t="str">
            <v>平成</v>
          </cell>
          <cell r="S1235">
            <v>13</v>
          </cell>
          <cell r="T1235">
            <v>4</v>
          </cell>
          <cell r="AB1235">
            <v>114100</v>
          </cell>
          <cell r="AC1235" t="str">
            <v>庄内川等水系</v>
          </cell>
          <cell r="AD1235" t="str">
            <v>Ｅ</v>
          </cell>
          <cell r="AE1235" t="str">
            <v>イ</v>
          </cell>
          <cell r="AF1235">
            <v>15</v>
          </cell>
          <cell r="AG1235">
            <v>10</v>
          </cell>
          <cell r="AH1235">
            <v>1</v>
          </cell>
          <cell r="AK1235" t="str">
            <v>五条川</v>
          </cell>
          <cell r="AQ1235" t="str">
            <v/>
          </cell>
          <cell r="AR1235" t="str">
            <v>ステップ流入式多段硝化脱窒法</v>
          </cell>
          <cell r="AS1235" t="str">
            <v>2300581001</v>
          </cell>
          <cell r="AT1235" t="str">
            <v/>
          </cell>
          <cell r="AU1235" t="str">
            <v>10</v>
          </cell>
          <cell r="AV1235" t="str">
            <v>10</v>
          </cell>
          <cell r="AW1235">
            <v>0</v>
          </cell>
          <cell r="AX1235">
            <v>0</v>
          </cell>
          <cell r="AY1235">
            <v>0</v>
          </cell>
          <cell r="AZ1235">
            <v>0</v>
          </cell>
          <cell r="BA1235">
            <v>0</v>
          </cell>
          <cell r="BD1235" t="str">
            <v/>
          </cell>
          <cell r="BE1235">
            <v>1</v>
          </cell>
          <cell r="BG1235" t="str">
            <v>1100</v>
          </cell>
        </row>
        <row r="1236">
          <cell r="B1236" t="str">
            <v>G230068106100100</v>
          </cell>
          <cell r="C1236" t="str">
            <v>23.愛知県</v>
          </cell>
          <cell r="D1236" t="str">
            <v>006</v>
          </cell>
          <cell r="E1236" t="str">
            <v>新川流域</v>
          </cell>
          <cell r="F1236" t="str">
            <v>81</v>
          </cell>
          <cell r="G1236" t="str">
            <v>流域</v>
          </cell>
          <cell r="H1236" t="str">
            <v>流域下水道</v>
          </cell>
          <cell r="I1236" t="str">
            <v/>
          </cell>
          <cell r="J1236" t="str">
            <v>001</v>
          </cell>
          <cell r="K1236" t="str">
            <v>新川東部浄化センター</v>
          </cell>
          <cell r="M1236" t="str">
            <v>1</v>
          </cell>
          <cell r="N1236" t="str">
            <v>1</v>
          </cell>
          <cell r="Q1236">
            <v>39508</v>
          </cell>
          <cell r="R1236" t="str">
            <v>平成</v>
          </cell>
          <cell r="S1236">
            <v>20</v>
          </cell>
          <cell r="T1236">
            <v>3</v>
          </cell>
          <cell r="AB1236">
            <v>67110</v>
          </cell>
          <cell r="AC1236" t="str">
            <v>新川萱津橋</v>
          </cell>
          <cell r="AD1236" t="str">
            <v>Ｅ</v>
          </cell>
          <cell r="AE1236" t="str">
            <v>ハ</v>
          </cell>
          <cell r="AF1236">
            <v>15</v>
          </cell>
          <cell r="AG1236">
            <v>10</v>
          </cell>
          <cell r="AH1236">
            <v>1</v>
          </cell>
          <cell r="AK1236" t="str">
            <v>鴨田川</v>
          </cell>
          <cell r="AQ1236" t="str">
            <v/>
          </cell>
          <cell r="AR1236" t="str">
            <v>高度処理オキシディションディッチ法</v>
          </cell>
          <cell r="AS1236" t="str">
            <v>2300681001</v>
          </cell>
          <cell r="AT1236" t="str">
            <v/>
          </cell>
          <cell r="AU1236" t="str">
            <v>10</v>
          </cell>
          <cell r="AV1236" t="str">
            <v>10</v>
          </cell>
          <cell r="AW1236">
            <v>0</v>
          </cell>
          <cell r="AX1236">
            <v>0</v>
          </cell>
          <cell r="AY1236">
            <v>0</v>
          </cell>
          <cell r="AZ1236">
            <v>0</v>
          </cell>
          <cell r="BA1236">
            <v>0</v>
          </cell>
          <cell r="BD1236" t="str">
            <v/>
          </cell>
          <cell r="BE1236">
            <v>1</v>
          </cell>
          <cell r="BG1236" t="str">
            <v>1100</v>
          </cell>
        </row>
        <row r="1237">
          <cell r="B1237" t="str">
            <v>G230068106100200</v>
          </cell>
          <cell r="C1237" t="str">
            <v>23.愛知県</v>
          </cell>
          <cell r="D1237" t="str">
            <v>006</v>
          </cell>
          <cell r="E1237" t="str">
            <v>新川流域</v>
          </cell>
          <cell r="F1237" t="str">
            <v>81</v>
          </cell>
          <cell r="G1237" t="str">
            <v>流域</v>
          </cell>
          <cell r="H1237" t="str">
            <v>流域下水道</v>
          </cell>
          <cell r="I1237" t="str">
            <v/>
          </cell>
          <cell r="J1237" t="str">
            <v>002</v>
          </cell>
          <cell r="K1237" t="str">
            <v>新川西部浄化センター</v>
          </cell>
          <cell r="M1237" t="str">
            <v>1</v>
          </cell>
          <cell r="Q1237">
            <v>41363</v>
          </cell>
          <cell r="R1237" t="str">
            <v>平成</v>
          </cell>
          <cell r="S1237">
            <v>25</v>
          </cell>
          <cell r="T1237">
            <v>3</v>
          </cell>
          <cell r="AB1237">
            <v>56000</v>
          </cell>
          <cell r="AC1237" t="str">
            <v>新川下流</v>
          </cell>
          <cell r="AD1237" t="str">
            <v>Ｅ</v>
          </cell>
          <cell r="AE1237" t="str">
            <v>ハ</v>
          </cell>
          <cell r="AF1237">
            <v>15</v>
          </cell>
          <cell r="AG1237">
            <v>10</v>
          </cell>
          <cell r="AH1237">
            <v>1</v>
          </cell>
          <cell r="AK1237" t="str">
            <v>新川</v>
          </cell>
          <cell r="AQ1237" t="str">
            <v>新規</v>
          </cell>
          <cell r="AR1237" t="str">
            <v>高度処理オキシディションディッチ法</v>
          </cell>
          <cell r="AS1237" t="str">
            <v>2300681002</v>
          </cell>
          <cell r="AT1237" t="str">
            <v/>
          </cell>
          <cell r="AU1237" t="str">
            <v>00</v>
          </cell>
          <cell r="AV1237" t="str">
            <v>00</v>
          </cell>
          <cell r="AW1237">
            <v>0</v>
          </cell>
          <cell r="AX1237">
            <v>0</v>
          </cell>
          <cell r="AY1237">
            <v>0</v>
          </cell>
          <cell r="AZ1237">
            <v>0</v>
          </cell>
          <cell r="BA1237">
            <v>0</v>
          </cell>
          <cell r="BD1237" t="str">
            <v/>
          </cell>
          <cell r="BE1237">
            <v>1</v>
          </cell>
          <cell r="BG1237" t="str">
            <v>1000</v>
          </cell>
        </row>
        <row r="1238">
          <cell r="B1238" t="str">
            <v>G230078106100100</v>
          </cell>
          <cell r="C1238" t="str">
            <v>23.愛知県</v>
          </cell>
          <cell r="D1238" t="str">
            <v>007</v>
          </cell>
          <cell r="E1238" t="str">
            <v>日光川下流流域</v>
          </cell>
          <cell r="F1238" t="str">
            <v>81</v>
          </cell>
          <cell r="G1238" t="str">
            <v>流域</v>
          </cell>
          <cell r="H1238" t="str">
            <v>流域下水道</v>
          </cell>
          <cell r="I1238" t="str">
            <v/>
          </cell>
          <cell r="J1238" t="str">
            <v>001</v>
          </cell>
          <cell r="K1238" t="str">
            <v>日光川下流浄化センター</v>
          </cell>
          <cell r="M1238" t="str">
            <v>1</v>
          </cell>
          <cell r="N1238" t="str">
            <v>1</v>
          </cell>
          <cell r="Q1238">
            <v>40238</v>
          </cell>
          <cell r="R1238" t="str">
            <v>平成</v>
          </cell>
          <cell r="S1238">
            <v>22</v>
          </cell>
          <cell r="T1238">
            <v>3</v>
          </cell>
          <cell r="AB1238">
            <v>165601</v>
          </cell>
          <cell r="AC1238" t="str">
            <v>名古屋港</v>
          </cell>
          <cell r="AD1238" t="str">
            <v>Ｃ</v>
          </cell>
          <cell r="AE1238" t="str">
            <v>ハ</v>
          </cell>
          <cell r="AF1238">
            <v>15</v>
          </cell>
          <cell r="AG1238">
            <v>10</v>
          </cell>
          <cell r="AH1238">
            <v>1</v>
          </cell>
          <cell r="AI1238" t="str">
            <v>名古屋港</v>
          </cell>
          <cell r="AQ1238" t="str">
            <v/>
          </cell>
          <cell r="AR1238" t="str">
            <v>ステップ流入式多段硝化脱窒法</v>
          </cell>
          <cell r="AS1238" t="str">
            <v>2300781001</v>
          </cell>
          <cell r="AT1238" t="str">
            <v/>
          </cell>
          <cell r="AU1238" t="str">
            <v>10</v>
          </cell>
          <cell r="AV1238" t="str">
            <v>10</v>
          </cell>
          <cell r="AW1238">
            <v>0</v>
          </cell>
          <cell r="AX1238">
            <v>0</v>
          </cell>
          <cell r="AY1238">
            <v>0</v>
          </cell>
          <cell r="AZ1238">
            <v>0</v>
          </cell>
          <cell r="BA1238">
            <v>0</v>
          </cell>
          <cell r="BD1238" t="str">
            <v/>
          </cell>
          <cell r="BE1238">
            <v>1</v>
          </cell>
          <cell r="BG1238" t="str">
            <v>1100</v>
          </cell>
        </row>
        <row r="1239">
          <cell r="B1239" t="str">
            <v>G231000106100100</v>
          </cell>
          <cell r="C1239" t="str">
            <v>23.愛知県</v>
          </cell>
          <cell r="D1239" t="str">
            <v>100</v>
          </cell>
          <cell r="E1239" t="str">
            <v>名古屋市</v>
          </cell>
          <cell r="F1239" t="str">
            <v>01</v>
          </cell>
          <cell r="G1239" t="str">
            <v>公共 単独</v>
          </cell>
          <cell r="H1239" t="str">
            <v>公共下水道</v>
          </cell>
          <cell r="I1239" t="str">
            <v>単独</v>
          </cell>
          <cell r="J1239" t="str">
            <v>001</v>
          </cell>
          <cell r="K1239" t="str">
            <v>堀留水処理センター</v>
          </cell>
          <cell r="M1239" t="str">
            <v>1</v>
          </cell>
          <cell r="P1239" t="str">
            <v>1</v>
          </cell>
          <cell r="Q1239">
            <v>11232</v>
          </cell>
          <cell r="R1239" t="str">
            <v>昭和</v>
          </cell>
          <cell r="S1239">
            <v>5</v>
          </cell>
          <cell r="T1239">
            <v>10</v>
          </cell>
          <cell r="U1239" t="str">
            <v>名称変更</v>
          </cell>
          <cell r="V1239">
            <v>39539</v>
          </cell>
          <cell r="W1239" t="str">
            <v>平成</v>
          </cell>
          <cell r="X1239">
            <v>20</v>
          </cell>
          <cell r="Y1239">
            <v>4</v>
          </cell>
          <cell r="Z1239" t="str">
            <v>堀留下水処理場</v>
          </cell>
          <cell r="AB1239">
            <v>30000</v>
          </cell>
          <cell r="AF1239">
            <v>15</v>
          </cell>
          <cell r="AK1239" t="str">
            <v>新堀川</v>
          </cell>
          <cell r="AQ1239" t="str">
            <v/>
          </cell>
          <cell r="AR1239" t="str">
            <v>標準活性汚泥法</v>
          </cell>
          <cell r="AS1239" t="str">
            <v>2310001001</v>
          </cell>
          <cell r="AT1239" t="str">
            <v/>
          </cell>
          <cell r="AU1239" t="str">
            <v>00</v>
          </cell>
          <cell r="AV1239" t="str">
            <v>00</v>
          </cell>
          <cell r="AW1239">
            <v>1</v>
          </cell>
          <cell r="AX1239">
            <v>0</v>
          </cell>
          <cell r="AY1239">
            <v>0</v>
          </cell>
          <cell r="AZ1239">
            <v>0</v>
          </cell>
          <cell r="BA1239">
            <v>0</v>
          </cell>
          <cell r="BD1239" t="str">
            <v/>
          </cell>
          <cell r="BE1239">
            <v>1</v>
          </cell>
          <cell r="BG1239" t="str">
            <v>1001</v>
          </cell>
        </row>
        <row r="1240">
          <cell r="B1240" t="str">
            <v>G231000106100200</v>
          </cell>
          <cell r="C1240" t="str">
            <v>23.愛知県</v>
          </cell>
          <cell r="D1240" t="str">
            <v>100</v>
          </cell>
          <cell r="E1240" t="str">
            <v>名古屋市</v>
          </cell>
          <cell r="F1240" t="str">
            <v>01</v>
          </cell>
          <cell r="G1240" t="str">
            <v>公共 単独</v>
          </cell>
          <cell r="H1240" t="str">
            <v>公共下水道</v>
          </cell>
          <cell r="I1240" t="str">
            <v>単独</v>
          </cell>
          <cell r="J1240" t="str">
            <v>002</v>
          </cell>
          <cell r="K1240" t="str">
            <v>熱田水処理センター</v>
          </cell>
          <cell r="M1240" t="str">
            <v>1</v>
          </cell>
          <cell r="Q1240">
            <v>11232</v>
          </cell>
          <cell r="R1240" t="str">
            <v>昭和</v>
          </cell>
          <cell r="S1240">
            <v>5</v>
          </cell>
          <cell r="T1240">
            <v>10</v>
          </cell>
          <cell r="U1240" t="str">
            <v>名称変更</v>
          </cell>
          <cell r="V1240">
            <v>39539</v>
          </cell>
          <cell r="W1240" t="str">
            <v>平成</v>
          </cell>
          <cell r="X1240">
            <v>20</v>
          </cell>
          <cell r="Y1240">
            <v>4</v>
          </cell>
          <cell r="Z1240" t="str">
            <v>熱田下水処理場</v>
          </cell>
          <cell r="AB1240">
            <v>10800</v>
          </cell>
          <cell r="AF1240">
            <v>12</v>
          </cell>
          <cell r="AH1240">
            <v>1.9</v>
          </cell>
          <cell r="AK1240" t="str">
            <v>新堀川</v>
          </cell>
          <cell r="AQ1240" t="str">
            <v/>
          </cell>
          <cell r="AR1240" t="str">
            <v>嫌気好気活性汚泥法</v>
          </cell>
          <cell r="AS1240" t="str">
            <v>2310001002</v>
          </cell>
          <cell r="AT1240" t="str">
            <v/>
          </cell>
          <cell r="AU1240" t="str">
            <v>00</v>
          </cell>
          <cell r="AV1240" t="str">
            <v>00</v>
          </cell>
          <cell r="AW1240">
            <v>0</v>
          </cell>
          <cell r="AX1240">
            <v>0</v>
          </cell>
          <cell r="AY1240">
            <v>0</v>
          </cell>
          <cell r="AZ1240">
            <v>0</v>
          </cell>
          <cell r="BA1240">
            <v>0</v>
          </cell>
          <cell r="BD1240" t="str">
            <v/>
          </cell>
          <cell r="BE1240">
            <v>1</v>
          </cell>
          <cell r="BG1240" t="str">
            <v>1000</v>
          </cell>
        </row>
        <row r="1241">
          <cell r="B1241" t="str">
            <v>G231000106100300</v>
          </cell>
          <cell r="C1241" t="str">
            <v>23.愛知県</v>
          </cell>
          <cell r="D1241" t="str">
            <v>100</v>
          </cell>
          <cell r="E1241" t="str">
            <v>名古屋市</v>
          </cell>
          <cell r="F1241" t="str">
            <v>01</v>
          </cell>
          <cell r="G1241" t="str">
            <v>公共 単独</v>
          </cell>
          <cell r="H1241" t="str">
            <v>公共下水道</v>
          </cell>
          <cell r="I1241" t="str">
            <v>単独</v>
          </cell>
          <cell r="J1241" t="str">
            <v>003</v>
          </cell>
          <cell r="K1241" t="str">
            <v>露橋水処理センター</v>
          </cell>
          <cell r="M1241" t="str">
            <v>1</v>
          </cell>
          <cell r="Q1241">
            <v>12359</v>
          </cell>
          <cell r="R1241" t="str">
            <v>昭和</v>
          </cell>
          <cell r="S1241">
            <v>8</v>
          </cell>
          <cell r="T1241">
            <v>11</v>
          </cell>
          <cell r="U1241" t="str">
            <v>休止</v>
          </cell>
          <cell r="V1241">
            <v>38078</v>
          </cell>
          <cell r="W1241" t="str">
            <v>平成</v>
          </cell>
          <cell r="X1241">
            <v>16</v>
          </cell>
          <cell r="Y1241">
            <v>4</v>
          </cell>
          <cell r="Z1241" t="str">
            <v>H20.4名称変更：露橋下水処理場</v>
          </cell>
          <cell r="AB1241">
            <v>25700</v>
          </cell>
          <cell r="AC1241" t="str">
            <v>中川運河全域</v>
          </cell>
          <cell r="AD1241" t="str">
            <v>Ｅ</v>
          </cell>
          <cell r="AE1241" t="str">
            <v>イ</v>
          </cell>
          <cell r="AF1241">
            <v>10</v>
          </cell>
          <cell r="AG1241">
            <v>9.1999999999999993</v>
          </cell>
          <cell r="AH1241">
            <v>1</v>
          </cell>
          <cell r="AJ1241" t="str">
            <v>中川運河</v>
          </cell>
          <cell r="AP1241" t="str">
            <v>全面改築中</v>
          </cell>
          <cell r="AQ1241" t="str">
            <v>休止</v>
          </cell>
          <cell r="AR1241" t="str">
            <v/>
          </cell>
          <cell r="AS1241" t="str">
            <v>2310001003</v>
          </cell>
          <cell r="AT1241" t="str">
            <v/>
          </cell>
          <cell r="AU1241" t="str">
            <v>00</v>
          </cell>
          <cell r="AV1241" t="str">
            <v>00</v>
          </cell>
          <cell r="AW1241">
            <v>0</v>
          </cell>
          <cell r="AX1241">
            <v>0</v>
          </cell>
          <cell r="AY1241">
            <v>0</v>
          </cell>
          <cell r="AZ1241">
            <v>0</v>
          </cell>
          <cell r="BA1241">
            <v>0</v>
          </cell>
          <cell r="BD1241" t="str">
            <v/>
          </cell>
          <cell r="BE1241">
            <v>1</v>
          </cell>
          <cell r="BG1241">
            <v>5555</v>
          </cell>
        </row>
        <row r="1242">
          <cell r="B1242" t="str">
            <v>G231000106100400</v>
          </cell>
          <cell r="C1242" t="str">
            <v>23.愛知県</v>
          </cell>
          <cell r="D1242" t="str">
            <v>100</v>
          </cell>
          <cell r="E1242" t="str">
            <v>名古屋市</v>
          </cell>
          <cell r="F1242" t="str">
            <v>01</v>
          </cell>
          <cell r="G1242" t="str">
            <v>公共 単独</v>
          </cell>
          <cell r="H1242" t="str">
            <v>公共下水道</v>
          </cell>
          <cell r="I1242" t="str">
            <v>単独</v>
          </cell>
          <cell r="J1242" t="str">
            <v>004</v>
          </cell>
          <cell r="K1242" t="str">
            <v>伝馬町水処理センター</v>
          </cell>
          <cell r="M1242" t="str">
            <v>1</v>
          </cell>
          <cell r="Q1242">
            <v>12663</v>
          </cell>
          <cell r="R1242" t="str">
            <v>昭和</v>
          </cell>
          <cell r="S1242">
            <v>9</v>
          </cell>
          <cell r="T1242">
            <v>9</v>
          </cell>
          <cell r="U1242" t="str">
            <v>名称変更</v>
          </cell>
          <cell r="V1242">
            <v>39539</v>
          </cell>
          <cell r="W1242" t="str">
            <v>平成</v>
          </cell>
          <cell r="X1242">
            <v>20</v>
          </cell>
          <cell r="Y1242">
            <v>4</v>
          </cell>
          <cell r="Z1242" t="str">
            <v>伝馬町下水処理場</v>
          </cell>
          <cell r="AB1242">
            <v>13300</v>
          </cell>
          <cell r="AF1242">
            <v>15</v>
          </cell>
          <cell r="AK1242" t="str">
            <v>新堀川</v>
          </cell>
          <cell r="AQ1242" t="str">
            <v/>
          </cell>
          <cell r="AR1242" t="str">
            <v>標準活性汚泥法</v>
          </cell>
          <cell r="AS1242" t="str">
            <v>2310001004</v>
          </cell>
          <cell r="AT1242" t="str">
            <v/>
          </cell>
          <cell r="AU1242" t="str">
            <v>00</v>
          </cell>
          <cell r="AV1242" t="str">
            <v>00</v>
          </cell>
          <cell r="AW1242">
            <v>0</v>
          </cell>
          <cell r="AX1242">
            <v>0</v>
          </cell>
          <cell r="AY1242">
            <v>0</v>
          </cell>
          <cell r="AZ1242">
            <v>0</v>
          </cell>
          <cell r="BA1242">
            <v>0</v>
          </cell>
          <cell r="BD1242" t="str">
            <v/>
          </cell>
          <cell r="BE1242">
            <v>1</v>
          </cell>
          <cell r="BG1242" t="str">
            <v>1000</v>
          </cell>
        </row>
        <row r="1243">
          <cell r="B1243" t="str">
            <v>G231000106100500</v>
          </cell>
          <cell r="C1243" t="str">
            <v>23.愛知県</v>
          </cell>
          <cell r="D1243" t="str">
            <v>100</v>
          </cell>
          <cell r="E1243" t="str">
            <v>名古屋市</v>
          </cell>
          <cell r="F1243" t="str">
            <v>01</v>
          </cell>
          <cell r="G1243" t="str">
            <v>公共 単独</v>
          </cell>
          <cell r="H1243" t="str">
            <v>公共下水道</v>
          </cell>
          <cell r="I1243" t="str">
            <v>単独</v>
          </cell>
          <cell r="J1243" t="str">
            <v>005</v>
          </cell>
          <cell r="K1243" t="str">
            <v>西山水処理センター</v>
          </cell>
          <cell r="M1243" t="str">
            <v>1</v>
          </cell>
          <cell r="Q1243">
            <v>21641</v>
          </cell>
          <cell r="R1243" t="str">
            <v>昭和</v>
          </cell>
          <cell r="S1243">
            <v>34</v>
          </cell>
          <cell r="T1243">
            <v>4</v>
          </cell>
          <cell r="U1243" t="str">
            <v>名称変更</v>
          </cell>
          <cell r="V1243">
            <v>39539</v>
          </cell>
          <cell r="W1243" t="str">
            <v>平成</v>
          </cell>
          <cell r="X1243">
            <v>20</v>
          </cell>
          <cell r="Y1243">
            <v>4</v>
          </cell>
          <cell r="Z1243" t="str">
            <v>西山下水処理場</v>
          </cell>
          <cell r="AB1243">
            <v>18300</v>
          </cell>
          <cell r="AF1243">
            <v>10</v>
          </cell>
          <cell r="AG1243">
            <v>10.4</v>
          </cell>
          <cell r="AH1243">
            <v>1</v>
          </cell>
          <cell r="AJ1243" t="str">
            <v>植田川</v>
          </cell>
          <cell r="AQ1243" t="str">
            <v/>
          </cell>
          <cell r="AR1243" t="str">
            <v>嫌気無酸素好気法</v>
          </cell>
          <cell r="AS1243" t="str">
            <v>2310001005</v>
          </cell>
          <cell r="AT1243" t="str">
            <v/>
          </cell>
          <cell r="AU1243" t="str">
            <v>00</v>
          </cell>
          <cell r="AV1243" t="str">
            <v>00</v>
          </cell>
          <cell r="AW1243">
            <v>0</v>
          </cell>
          <cell r="AX1243">
            <v>0</v>
          </cell>
          <cell r="AY1243">
            <v>0</v>
          </cell>
          <cell r="AZ1243">
            <v>0</v>
          </cell>
          <cell r="BA1243">
            <v>0</v>
          </cell>
          <cell r="BD1243" t="str">
            <v/>
          </cell>
          <cell r="BE1243">
            <v>1</v>
          </cell>
          <cell r="BG1243" t="str">
            <v>1000</v>
          </cell>
        </row>
        <row r="1244">
          <cell r="B1244" t="str">
            <v>G231000106100600</v>
          </cell>
          <cell r="C1244" t="str">
            <v>23.愛知県</v>
          </cell>
          <cell r="D1244" t="str">
            <v>100</v>
          </cell>
          <cell r="E1244" t="str">
            <v>名古屋市</v>
          </cell>
          <cell r="F1244" t="str">
            <v>01</v>
          </cell>
          <cell r="G1244" t="str">
            <v>公共 単独</v>
          </cell>
          <cell r="H1244" t="str">
            <v>公共下水道</v>
          </cell>
          <cell r="I1244" t="str">
            <v>単独</v>
          </cell>
          <cell r="J1244" t="str">
            <v>006</v>
          </cell>
          <cell r="K1244" t="str">
            <v>山崎水処理センター</v>
          </cell>
          <cell r="M1244" t="str">
            <v>1</v>
          </cell>
          <cell r="N1244" t="str">
            <v>1</v>
          </cell>
          <cell r="Q1244">
            <v>22160</v>
          </cell>
          <cell r="R1244" t="str">
            <v>昭和</v>
          </cell>
          <cell r="S1244">
            <v>35</v>
          </cell>
          <cell r="T1244">
            <v>9</v>
          </cell>
          <cell r="U1244" t="str">
            <v>名称変更</v>
          </cell>
          <cell r="V1244">
            <v>39539</v>
          </cell>
          <cell r="W1244" t="str">
            <v>平成</v>
          </cell>
          <cell r="X1244">
            <v>20</v>
          </cell>
          <cell r="Y1244">
            <v>4</v>
          </cell>
          <cell r="Z1244" t="str">
            <v>山崎下水処理場</v>
          </cell>
          <cell r="AB1244">
            <v>75600</v>
          </cell>
          <cell r="AC1244" t="str">
            <v>山崎川</v>
          </cell>
          <cell r="AD1244" t="str">
            <v>Ｄ</v>
          </cell>
          <cell r="AE1244" t="str">
            <v>イ</v>
          </cell>
          <cell r="AF1244">
            <v>15</v>
          </cell>
          <cell r="AJ1244" t="str">
            <v>山崎川</v>
          </cell>
          <cell r="AQ1244" t="str">
            <v/>
          </cell>
          <cell r="AR1244" t="str">
            <v>標準活性汚泥法</v>
          </cell>
          <cell r="AS1244" t="str">
            <v>2310001006</v>
          </cell>
          <cell r="AT1244" t="str">
            <v/>
          </cell>
          <cell r="AU1244" t="str">
            <v>10</v>
          </cell>
          <cell r="AV1244" t="str">
            <v>10</v>
          </cell>
          <cell r="AW1244">
            <v>0</v>
          </cell>
          <cell r="AX1244">
            <v>0</v>
          </cell>
          <cell r="AY1244">
            <v>0</v>
          </cell>
          <cell r="AZ1244">
            <v>0</v>
          </cell>
          <cell r="BA1244">
            <v>0</v>
          </cell>
          <cell r="BD1244" t="str">
            <v/>
          </cell>
          <cell r="BE1244">
            <v>1</v>
          </cell>
          <cell r="BG1244" t="str">
            <v>1100</v>
          </cell>
        </row>
        <row r="1245">
          <cell r="B1245" t="str">
            <v>G231000106100700</v>
          </cell>
          <cell r="C1245" t="str">
            <v>23.愛知県</v>
          </cell>
          <cell r="D1245" t="str">
            <v>100</v>
          </cell>
          <cell r="E1245" t="str">
            <v>名古屋市</v>
          </cell>
          <cell r="F1245" t="str">
            <v>01</v>
          </cell>
          <cell r="G1245" t="str">
            <v>公共 単独</v>
          </cell>
          <cell r="H1245" t="str">
            <v>公共下水道</v>
          </cell>
          <cell r="I1245" t="str">
            <v>単独</v>
          </cell>
          <cell r="J1245" t="str">
            <v>007</v>
          </cell>
          <cell r="K1245" t="str">
            <v>岩塚水処理センター</v>
          </cell>
          <cell r="M1245" t="str">
            <v>1</v>
          </cell>
          <cell r="Q1245">
            <v>23529</v>
          </cell>
          <cell r="R1245" t="str">
            <v>昭和</v>
          </cell>
          <cell r="S1245">
            <v>39</v>
          </cell>
          <cell r="T1245">
            <v>6</v>
          </cell>
          <cell r="U1245" t="str">
            <v>名称変更</v>
          </cell>
          <cell r="V1245">
            <v>39539</v>
          </cell>
          <cell r="W1245" t="str">
            <v>平成</v>
          </cell>
          <cell r="X1245">
            <v>20</v>
          </cell>
          <cell r="Y1245">
            <v>4</v>
          </cell>
          <cell r="Z1245" t="str">
            <v>岩塚下水処理場</v>
          </cell>
          <cell r="AB1245">
            <v>34000</v>
          </cell>
          <cell r="AC1245" t="str">
            <v>庄内川下流</v>
          </cell>
          <cell r="AD1245" t="str">
            <v>Ｄ</v>
          </cell>
          <cell r="AE1245" t="str">
            <v>イ</v>
          </cell>
          <cell r="AF1245">
            <v>15</v>
          </cell>
          <cell r="AK1245" t="str">
            <v>庄内川</v>
          </cell>
          <cell r="AQ1245" t="str">
            <v/>
          </cell>
          <cell r="AR1245" t="str">
            <v>標準活性汚泥法</v>
          </cell>
          <cell r="AS1245" t="str">
            <v>2310001007</v>
          </cell>
          <cell r="AT1245" t="str">
            <v/>
          </cell>
          <cell r="AU1245" t="str">
            <v>00</v>
          </cell>
          <cell r="AV1245" t="str">
            <v>00</v>
          </cell>
          <cell r="AW1245">
            <v>0</v>
          </cell>
          <cell r="AX1245">
            <v>0</v>
          </cell>
          <cell r="AY1245">
            <v>0</v>
          </cell>
          <cell r="AZ1245">
            <v>0</v>
          </cell>
          <cell r="BA1245">
            <v>0</v>
          </cell>
          <cell r="BD1245" t="str">
            <v/>
          </cell>
          <cell r="BE1245">
            <v>1</v>
          </cell>
          <cell r="BG1245" t="str">
            <v>1000</v>
          </cell>
        </row>
        <row r="1246">
          <cell r="B1246" t="str">
            <v>G231000106100800</v>
          </cell>
          <cell r="C1246" t="str">
            <v>23.愛知県</v>
          </cell>
          <cell r="D1246" t="str">
            <v>100</v>
          </cell>
          <cell r="E1246" t="str">
            <v>名古屋市</v>
          </cell>
          <cell r="F1246" t="str">
            <v>01</v>
          </cell>
          <cell r="G1246" t="str">
            <v>公共 単独</v>
          </cell>
          <cell r="H1246" t="str">
            <v>公共下水道</v>
          </cell>
          <cell r="I1246" t="str">
            <v>単独</v>
          </cell>
          <cell r="J1246" t="str">
            <v>008</v>
          </cell>
          <cell r="K1246" t="str">
            <v>千年水処理センター</v>
          </cell>
          <cell r="M1246" t="str">
            <v>1</v>
          </cell>
          <cell r="P1246" t="str">
            <v>1</v>
          </cell>
          <cell r="Q1246">
            <v>23559</v>
          </cell>
          <cell r="R1246" t="str">
            <v>昭和</v>
          </cell>
          <cell r="S1246">
            <v>39</v>
          </cell>
          <cell r="T1246">
            <v>7</v>
          </cell>
          <cell r="U1246" t="str">
            <v>名称変更</v>
          </cell>
          <cell r="V1246">
            <v>39539</v>
          </cell>
          <cell r="W1246" t="str">
            <v>平成</v>
          </cell>
          <cell r="X1246">
            <v>20</v>
          </cell>
          <cell r="Y1246">
            <v>4</v>
          </cell>
          <cell r="Z1246" t="str">
            <v>千年下水処理場</v>
          </cell>
          <cell r="AB1246">
            <v>21700</v>
          </cell>
          <cell r="AC1246" t="str">
            <v>堀川</v>
          </cell>
          <cell r="AD1246" t="str">
            <v>Ｄ</v>
          </cell>
          <cell r="AE1246" t="str">
            <v>イ</v>
          </cell>
          <cell r="AF1246">
            <v>15</v>
          </cell>
          <cell r="AK1246" t="str">
            <v>堀川</v>
          </cell>
          <cell r="AQ1246" t="str">
            <v/>
          </cell>
          <cell r="AR1246" t="str">
            <v>その他処理方法</v>
          </cell>
          <cell r="AS1246" t="str">
            <v>2310001008</v>
          </cell>
          <cell r="AT1246" t="str">
            <v/>
          </cell>
          <cell r="AU1246" t="str">
            <v>00</v>
          </cell>
          <cell r="AV1246" t="str">
            <v>00</v>
          </cell>
          <cell r="AW1246">
            <v>1</v>
          </cell>
          <cell r="AX1246">
            <v>0</v>
          </cell>
          <cell r="AY1246">
            <v>0</v>
          </cell>
          <cell r="AZ1246">
            <v>0</v>
          </cell>
          <cell r="BA1246">
            <v>0</v>
          </cell>
          <cell r="BD1246" t="str">
            <v/>
          </cell>
          <cell r="BE1246">
            <v>1</v>
          </cell>
          <cell r="BG1246" t="str">
            <v>1001</v>
          </cell>
        </row>
        <row r="1247">
          <cell r="B1247" t="str">
            <v>G231000106100900</v>
          </cell>
          <cell r="C1247" t="str">
            <v>23.愛知県</v>
          </cell>
          <cell r="D1247" t="str">
            <v>100</v>
          </cell>
          <cell r="E1247" t="str">
            <v>名古屋市</v>
          </cell>
          <cell r="F1247" t="str">
            <v>01</v>
          </cell>
          <cell r="G1247" t="str">
            <v>公共 単独</v>
          </cell>
          <cell r="H1247" t="str">
            <v>公共下水道</v>
          </cell>
          <cell r="I1247" t="str">
            <v>単独</v>
          </cell>
          <cell r="J1247" t="str">
            <v>009</v>
          </cell>
          <cell r="K1247" t="str">
            <v>名城水処理センター</v>
          </cell>
          <cell r="M1247" t="str">
            <v>1</v>
          </cell>
          <cell r="P1247" t="str">
            <v>1</v>
          </cell>
          <cell r="Q1247">
            <v>23833</v>
          </cell>
          <cell r="R1247" t="str">
            <v>昭和</v>
          </cell>
          <cell r="S1247">
            <v>40</v>
          </cell>
          <cell r="T1247">
            <v>4</v>
          </cell>
          <cell r="U1247" t="str">
            <v>名称変更</v>
          </cell>
          <cell r="V1247">
            <v>39539</v>
          </cell>
          <cell r="W1247" t="str">
            <v>平成</v>
          </cell>
          <cell r="X1247">
            <v>20</v>
          </cell>
          <cell r="Y1247">
            <v>4</v>
          </cell>
          <cell r="Z1247" t="str">
            <v>名城下水処理場</v>
          </cell>
          <cell r="AB1247">
            <v>16500</v>
          </cell>
          <cell r="AC1247" t="str">
            <v>堀川</v>
          </cell>
          <cell r="AD1247" t="str">
            <v>Ｄ</v>
          </cell>
          <cell r="AE1247" t="str">
            <v>イ</v>
          </cell>
          <cell r="AF1247">
            <v>15</v>
          </cell>
          <cell r="AK1247" t="str">
            <v>堀川</v>
          </cell>
          <cell r="AQ1247" t="str">
            <v/>
          </cell>
          <cell r="AR1247" t="str">
            <v>標準活性汚泥法</v>
          </cell>
          <cell r="AS1247" t="str">
            <v>2310001009</v>
          </cell>
          <cell r="AT1247" t="str">
            <v/>
          </cell>
          <cell r="AU1247" t="str">
            <v>00</v>
          </cell>
          <cell r="AV1247" t="str">
            <v>00</v>
          </cell>
          <cell r="AW1247">
            <v>1</v>
          </cell>
          <cell r="AX1247">
            <v>0</v>
          </cell>
          <cell r="AY1247">
            <v>0</v>
          </cell>
          <cell r="AZ1247">
            <v>0</v>
          </cell>
          <cell r="BA1247">
            <v>0</v>
          </cell>
          <cell r="BD1247" t="str">
            <v/>
          </cell>
          <cell r="BE1247">
            <v>1</v>
          </cell>
          <cell r="BG1247" t="str">
            <v>1001</v>
          </cell>
        </row>
        <row r="1248">
          <cell r="B1248" t="str">
            <v>G231000106101000</v>
          </cell>
          <cell r="C1248" t="str">
            <v>23.愛知県</v>
          </cell>
          <cell r="D1248" t="str">
            <v>100</v>
          </cell>
          <cell r="E1248" t="str">
            <v>名古屋市</v>
          </cell>
          <cell r="F1248" t="str">
            <v>01</v>
          </cell>
          <cell r="G1248" t="str">
            <v>公共 単独</v>
          </cell>
          <cell r="H1248" t="str">
            <v>公共下水道</v>
          </cell>
          <cell r="I1248" t="str">
            <v>単独</v>
          </cell>
          <cell r="J1248" t="str">
            <v>010</v>
          </cell>
          <cell r="K1248" t="str">
            <v>鳴海水処理センター</v>
          </cell>
          <cell r="M1248" t="str">
            <v>1</v>
          </cell>
          <cell r="O1248" t="str">
            <v>1</v>
          </cell>
          <cell r="Q1248">
            <v>25538</v>
          </cell>
          <cell r="R1248" t="str">
            <v>昭和</v>
          </cell>
          <cell r="S1248">
            <v>44</v>
          </cell>
          <cell r="T1248">
            <v>12</v>
          </cell>
          <cell r="U1248" t="str">
            <v>名称変更</v>
          </cell>
          <cell r="V1248">
            <v>39539</v>
          </cell>
          <cell r="W1248" t="str">
            <v>平成</v>
          </cell>
          <cell r="X1248">
            <v>20</v>
          </cell>
          <cell r="Y1248">
            <v>4</v>
          </cell>
          <cell r="Z1248" t="str">
            <v>鳴海下水処理場</v>
          </cell>
          <cell r="AB1248">
            <v>63500</v>
          </cell>
          <cell r="AC1248" t="str">
            <v>天白川全域</v>
          </cell>
          <cell r="AD1248" t="str">
            <v>Ｃ</v>
          </cell>
          <cell r="AE1248" t="str">
            <v>イ</v>
          </cell>
          <cell r="AF1248">
            <v>15</v>
          </cell>
          <cell r="AJ1248" t="str">
            <v>天白川</v>
          </cell>
          <cell r="AQ1248" t="str">
            <v/>
          </cell>
          <cell r="AR1248" t="str">
            <v>標準活性汚泥法</v>
          </cell>
          <cell r="AS1248" t="str">
            <v>2310001010</v>
          </cell>
          <cell r="AT1248" t="str">
            <v/>
          </cell>
          <cell r="AU1248" t="str">
            <v>01</v>
          </cell>
          <cell r="AV1248" t="str">
            <v>01</v>
          </cell>
          <cell r="AW1248">
            <v>0</v>
          </cell>
          <cell r="AX1248">
            <v>0</v>
          </cell>
          <cell r="AY1248">
            <v>0</v>
          </cell>
          <cell r="AZ1248">
            <v>0</v>
          </cell>
          <cell r="BA1248">
            <v>0</v>
          </cell>
          <cell r="BC1248" t="str">
            <v>汚泥処理は柴田で行い、柴田・宝神より焼却灰を受け建設資材生産</v>
          </cell>
          <cell r="BD1248" t="str">
            <v>汚泥処理は柴田で行い、柴田・宝神より焼却灰を受け建設資材生産</v>
          </cell>
          <cell r="BE1248">
            <v>1</v>
          </cell>
          <cell r="BG1248" t="str">
            <v>1010</v>
          </cell>
        </row>
        <row r="1249">
          <cell r="B1249" t="str">
            <v>G231000106101100</v>
          </cell>
          <cell r="C1249" t="str">
            <v>23.愛知県</v>
          </cell>
          <cell r="D1249" t="str">
            <v>100</v>
          </cell>
          <cell r="E1249" t="str">
            <v>名古屋市</v>
          </cell>
          <cell r="F1249" t="str">
            <v>01</v>
          </cell>
          <cell r="G1249" t="str">
            <v>公共 単独</v>
          </cell>
          <cell r="H1249" t="str">
            <v>公共下水道</v>
          </cell>
          <cell r="I1249" t="str">
            <v>単独</v>
          </cell>
          <cell r="J1249" t="str">
            <v>011</v>
          </cell>
          <cell r="K1249" t="str">
            <v>柴田水処理センター</v>
          </cell>
          <cell r="M1249" t="str">
            <v>1</v>
          </cell>
          <cell r="N1249" t="str">
            <v>1</v>
          </cell>
          <cell r="P1249" t="str">
            <v>1</v>
          </cell>
          <cell r="Q1249">
            <v>26330</v>
          </cell>
          <cell r="R1249" t="str">
            <v>昭和</v>
          </cell>
          <cell r="S1249">
            <v>47</v>
          </cell>
          <cell r="T1249">
            <v>2</v>
          </cell>
          <cell r="U1249" t="str">
            <v>名称変更</v>
          </cell>
          <cell r="V1249">
            <v>39539</v>
          </cell>
          <cell r="W1249" t="str">
            <v>平成</v>
          </cell>
          <cell r="X1249">
            <v>20</v>
          </cell>
          <cell r="Y1249">
            <v>4</v>
          </cell>
          <cell r="Z1249" t="str">
            <v>柴田下水処理場</v>
          </cell>
          <cell r="AB1249">
            <v>79100</v>
          </cell>
          <cell r="AC1249" t="str">
            <v>天白川全域</v>
          </cell>
          <cell r="AD1249" t="str">
            <v>Ｃ</v>
          </cell>
          <cell r="AE1249" t="str">
            <v>イ</v>
          </cell>
          <cell r="AF1249">
            <v>15</v>
          </cell>
          <cell r="AJ1249" t="str">
            <v>天白川</v>
          </cell>
          <cell r="AQ1249" t="str">
            <v/>
          </cell>
          <cell r="AR1249" t="str">
            <v>標準活性汚泥法</v>
          </cell>
          <cell r="AS1249" t="str">
            <v>2310001011</v>
          </cell>
          <cell r="AT1249" t="str">
            <v/>
          </cell>
          <cell r="AU1249" t="str">
            <v>10</v>
          </cell>
          <cell r="AV1249" t="str">
            <v>10</v>
          </cell>
          <cell r="AW1249">
            <v>1</v>
          </cell>
          <cell r="AX1249">
            <v>0</v>
          </cell>
          <cell r="AY1249">
            <v>0</v>
          </cell>
          <cell r="AZ1249">
            <v>0</v>
          </cell>
          <cell r="BA1249">
            <v>0</v>
          </cell>
          <cell r="BD1249" t="str">
            <v/>
          </cell>
          <cell r="BE1249">
            <v>1</v>
          </cell>
          <cell r="BG1249" t="str">
            <v>1101</v>
          </cell>
        </row>
        <row r="1250">
          <cell r="B1250" t="str">
            <v>G231000106101200</v>
          </cell>
          <cell r="C1250" t="str">
            <v>23.愛知県</v>
          </cell>
          <cell r="D1250" t="str">
            <v>100</v>
          </cell>
          <cell r="E1250" t="str">
            <v>名古屋市</v>
          </cell>
          <cell r="F1250" t="str">
            <v>01</v>
          </cell>
          <cell r="G1250" t="str">
            <v>公共 単独</v>
          </cell>
          <cell r="H1250" t="str">
            <v>公共下水道</v>
          </cell>
          <cell r="I1250" t="str">
            <v>単独</v>
          </cell>
          <cell r="J1250" t="str">
            <v>012</v>
          </cell>
          <cell r="K1250" t="str">
            <v>打出水処理センター</v>
          </cell>
          <cell r="M1250" t="str">
            <v>1</v>
          </cell>
          <cell r="P1250" t="str">
            <v>1</v>
          </cell>
          <cell r="Q1250">
            <v>27485</v>
          </cell>
          <cell r="R1250" t="str">
            <v>昭和</v>
          </cell>
          <cell r="S1250">
            <v>50</v>
          </cell>
          <cell r="T1250">
            <v>4</v>
          </cell>
          <cell r="U1250" t="str">
            <v>名称変更</v>
          </cell>
          <cell r="V1250">
            <v>39539</v>
          </cell>
          <cell r="W1250" t="str">
            <v>平成</v>
          </cell>
          <cell r="X1250">
            <v>20</v>
          </cell>
          <cell r="Y1250">
            <v>4</v>
          </cell>
          <cell r="Z1250" t="str">
            <v>打出下水処理場</v>
          </cell>
          <cell r="AB1250">
            <v>75500</v>
          </cell>
          <cell r="AC1250" t="str">
            <v>庄内川下流</v>
          </cell>
          <cell r="AD1250" t="str">
            <v>Ｄ</v>
          </cell>
          <cell r="AE1250" t="str">
            <v>イ</v>
          </cell>
          <cell r="AF1250">
            <v>15</v>
          </cell>
          <cell r="AK1250" t="str">
            <v>庄内川</v>
          </cell>
          <cell r="AQ1250" t="str">
            <v/>
          </cell>
          <cell r="AR1250" t="str">
            <v>標準活性汚泥法</v>
          </cell>
          <cell r="AS1250" t="str">
            <v>2310001012</v>
          </cell>
          <cell r="AT1250" t="str">
            <v/>
          </cell>
          <cell r="AU1250" t="str">
            <v>00</v>
          </cell>
          <cell r="AV1250" t="str">
            <v>00</v>
          </cell>
          <cell r="AW1250">
            <v>1</v>
          </cell>
          <cell r="AX1250">
            <v>0</v>
          </cell>
          <cell r="AY1250">
            <v>0</v>
          </cell>
          <cell r="AZ1250">
            <v>0</v>
          </cell>
          <cell r="BA1250">
            <v>0</v>
          </cell>
          <cell r="BD1250" t="str">
            <v/>
          </cell>
          <cell r="BE1250">
            <v>1</v>
          </cell>
          <cell r="BG1250" t="str">
            <v>1001</v>
          </cell>
        </row>
        <row r="1251">
          <cell r="B1251" t="str">
            <v>G231000106101300</v>
          </cell>
          <cell r="C1251" t="str">
            <v>23.愛知県</v>
          </cell>
          <cell r="D1251" t="str">
            <v>100</v>
          </cell>
          <cell r="E1251" t="str">
            <v>名古屋市</v>
          </cell>
          <cell r="F1251" t="str">
            <v>01</v>
          </cell>
          <cell r="G1251" t="str">
            <v>公共 単独</v>
          </cell>
          <cell r="H1251" t="str">
            <v>公共下水道</v>
          </cell>
          <cell r="I1251" t="str">
            <v>単独</v>
          </cell>
          <cell r="J1251" t="str">
            <v>013</v>
          </cell>
          <cell r="K1251" t="str">
            <v>宝神水処理センター</v>
          </cell>
          <cell r="M1251" t="str">
            <v>1</v>
          </cell>
          <cell r="N1251" t="str">
            <v>1</v>
          </cell>
          <cell r="Q1251">
            <v>27546</v>
          </cell>
          <cell r="R1251" t="str">
            <v>昭和</v>
          </cell>
          <cell r="S1251">
            <v>50</v>
          </cell>
          <cell r="T1251">
            <v>6</v>
          </cell>
          <cell r="U1251" t="str">
            <v>名称変更</v>
          </cell>
          <cell r="V1251">
            <v>39539</v>
          </cell>
          <cell r="W1251" t="str">
            <v>平成</v>
          </cell>
          <cell r="X1251">
            <v>20</v>
          </cell>
          <cell r="Y1251">
            <v>4</v>
          </cell>
          <cell r="Z1251" t="str">
            <v>宝神下水処理場</v>
          </cell>
          <cell r="AB1251">
            <v>89300</v>
          </cell>
          <cell r="AC1251" t="str">
            <v>庄内川下流</v>
          </cell>
          <cell r="AD1251" t="str">
            <v>Ｄ</v>
          </cell>
          <cell r="AE1251" t="str">
            <v>イ</v>
          </cell>
          <cell r="AF1251">
            <v>15</v>
          </cell>
          <cell r="AK1251" t="str">
            <v>庄内川</v>
          </cell>
          <cell r="AQ1251" t="str">
            <v/>
          </cell>
          <cell r="AR1251" t="str">
            <v>標準活性汚泥法</v>
          </cell>
          <cell r="AS1251" t="str">
            <v>2310001013</v>
          </cell>
          <cell r="AT1251" t="str">
            <v/>
          </cell>
          <cell r="AU1251" t="str">
            <v>10</v>
          </cell>
          <cell r="AV1251" t="str">
            <v>10</v>
          </cell>
          <cell r="AW1251">
            <v>0</v>
          </cell>
          <cell r="AX1251">
            <v>0</v>
          </cell>
          <cell r="AY1251">
            <v>0</v>
          </cell>
          <cell r="AZ1251">
            <v>0</v>
          </cell>
          <cell r="BA1251">
            <v>0</v>
          </cell>
          <cell r="BD1251" t="str">
            <v/>
          </cell>
          <cell r="BE1251">
            <v>1</v>
          </cell>
          <cell r="BG1251" t="str">
            <v>1100</v>
          </cell>
        </row>
        <row r="1252">
          <cell r="B1252" t="str">
            <v>G231000106101400</v>
          </cell>
          <cell r="C1252" t="str">
            <v>23.愛知県</v>
          </cell>
          <cell r="D1252" t="str">
            <v>100</v>
          </cell>
          <cell r="E1252" t="str">
            <v>名古屋市</v>
          </cell>
          <cell r="F1252" t="str">
            <v>01</v>
          </cell>
          <cell r="G1252" t="str">
            <v>公共 単独</v>
          </cell>
          <cell r="H1252" t="str">
            <v>公共下水道</v>
          </cell>
          <cell r="I1252" t="str">
            <v>単独</v>
          </cell>
          <cell r="J1252" t="str">
            <v>014</v>
          </cell>
          <cell r="K1252" t="str">
            <v>守山水処理センター</v>
          </cell>
          <cell r="M1252" t="str">
            <v>1</v>
          </cell>
          <cell r="Q1252">
            <v>28581</v>
          </cell>
          <cell r="R1252" t="str">
            <v>昭和</v>
          </cell>
          <cell r="S1252">
            <v>53</v>
          </cell>
          <cell r="T1252">
            <v>4</v>
          </cell>
          <cell r="U1252" t="str">
            <v>名称変更</v>
          </cell>
          <cell r="V1252">
            <v>39539</v>
          </cell>
          <cell r="W1252" t="str">
            <v>平成</v>
          </cell>
          <cell r="X1252">
            <v>20</v>
          </cell>
          <cell r="Y1252">
            <v>4</v>
          </cell>
          <cell r="Z1252" t="str">
            <v>守山下水処理場</v>
          </cell>
          <cell r="AB1252">
            <v>46000</v>
          </cell>
          <cell r="AC1252" t="str">
            <v>庄内川下流</v>
          </cell>
          <cell r="AD1252" t="str">
            <v>Ｄ</v>
          </cell>
          <cell r="AE1252" t="str">
            <v>イ</v>
          </cell>
          <cell r="AF1252">
            <v>15</v>
          </cell>
          <cell r="AK1252" t="str">
            <v>庄内川</v>
          </cell>
          <cell r="AQ1252" t="str">
            <v/>
          </cell>
          <cell r="AR1252" t="str">
            <v>標準活性汚泥法</v>
          </cell>
          <cell r="AS1252" t="str">
            <v>2310001014</v>
          </cell>
          <cell r="AT1252" t="str">
            <v/>
          </cell>
          <cell r="AU1252" t="str">
            <v>00</v>
          </cell>
          <cell r="AV1252" t="str">
            <v>00</v>
          </cell>
          <cell r="AW1252">
            <v>0</v>
          </cell>
          <cell r="AX1252">
            <v>0</v>
          </cell>
          <cell r="AY1252">
            <v>0</v>
          </cell>
          <cell r="AZ1252">
            <v>0</v>
          </cell>
          <cell r="BA1252">
            <v>0</v>
          </cell>
          <cell r="BD1252" t="str">
            <v/>
          </cell>
          <cell r="BE1252">
            <v>1</v>
          </cell>
          <cell r="BG1252" t="str">
            <v>1000</v>
          </cell>
        </row>
        <row r="1253">
          <cell r="B1253" t="str">
            <v>G231000106101500</v>
          </cell>
          <cell r="C1253" t="str">
            <v>23.愛知県</v>
          </cell>
          <cell r="D1253" t="str">
            <v>100</v>
          </cell>
          <cell r="E1253" t="str">
            <v>名古屋市</v>
          </cell>
          <cell r="F1253" t="str">
            <v>01</v>
          </cell>
          <cell r="G1253" t="str">
            <v>公共 単独</v>
          </cell>
          <cell r="H1253" t="str">
            <v>公共下水道</v>
          </cell>
          <cell r="I1253" t="str">
            <v>単独</v>
          </cell>
          <cell r="J1253" t="str">
            <v>015</v>
          </cell>
          <cell r="K1253" t="str">
            <v>植田水処理センター</v>
          </cell>
          <cell r="M1253" t="str">
            <v>1</v>
          </cell>
          <cell r="P1253" t="str">
            <v>1</v>
          </cell>
          <cell r="Q1253">
            <v>30225</v>
          </cell>
          <cell r="R1253" t="str">
            <v>昭和</v>
          </cell>
          <cell r="S1253">
            <v>57</v>
          </cell>
          <cell r="T1253">
            <v>10</v>
          </cell>
          <cell r="U1253" t="str">
            <v>名称変更</v>
          </cell>
          <cell r="V1253">
            <v>39539</v>
          </cell>
          <cell r="W1253" t="str">
            <v>平成</v>
          </cell>
          <cell r="X1253">
            <v>20</v>
          </cell>
          <cell r="Y1253">
            <v>4</v>
          </cell>
          <cell r="Z1253" t="str">
            <v>植田下水処理場</v>
          </cell>
          <cell r="AB1253">
            <v>58500</v>
          </cell>
          <cell r="AF1253">
            <v>15</v>
          </cell>
          <cell r="AJ1253" t="str">
            <v>植田川</v>
          </cell>
          <cell r="AQ1253" t="str">
            <v/>
          </cell>
          <cell r="AR1253" t="str">
            <v>標準活性汚泥法</v>
          </cell>
          <cell r="AS1253" t="str">
            <v>2310001015</v>
          </cell>
          <cell r="AT1253" t="str">
            <v/>
          </cell>
          <cell r="AU1253" t="str">
            <v>00</v>
          </cell>
          <cell r="AV1253" t="str">
            <v>00</v>
          </cell>
          <cell r="AW1253">
            <v>1</v>
          </cell>
          <cell r="AX1253">
            <v>0</v>
          </cell>
          <cell r="AY1253">
            <v>0</v>
          </cell>
          <cell r="AZ1253">
            <v>0</v>
          </cell>
          <cell r="BA1253">
            <v>0</v>
          </cell>
          <cell r="BD1253" t="str">
            <v/>
          </cell>
          <cell r="BE1253">
            <v>1</v>
          </cell>
          <cell r="BG1253" t="str">
            <v>1001</v>
          </cell>
        </row>
        <row r="1254">
          <cell r="B1254" t="str">
            <v>G232010106100100</v>
          </cell>
          <cell r="C1254" t="str">
            <v>23.愛知県</v>
          </cell>
          <cell r="D1254" t="str">
            <v>201</v>
          </cell>
          <cell r="E1254" t="str">
            <v>豊橋市</v>
          </cell>
          <cell r="F1254" t="str">
            <v>01</v>
          </cell>
          <cell r="G1254" t="str">
            <v>公共 単独</v>
          </cell>
          <cell r="H1254" t="str">
            <v>公共下水道</v>
          </cell>
          <cell r="I1254" t="str">
            <v>単独</v>
          </cell>
          <cell r="J1254" t="str">
            <v>001</v>
          </cell>
          <cell r="K1254" t="str">
            <v>野田処理場</v>
          </cell>
          <cell r="M1254" t="str">
            <v>1</v>
          </cell>
          <cell r="P1254" t="str">
            <v>1</v>
          </cell>
          <cell r="Q1254">
            <v>12997</v>
          </cell>
          <cell r="R1254" t="str">
            <v>昭和</v>
          </cell>
          <cell r="S1254">
            <v>10</v>
          </cell>
          <cell r="T1254">
            <v>8</v>
          </cell>
          <cell r="AB1254">
            <v>22090</v>
          </cell>
          <cell r="AC1254" t="str">
            <v>渥美湾</v>
          </cell>
          <cell r="AD1254" t="str">
            <v>Ｂ</v>
          </cell>
          <cell r="AE1254" t="str">
            <v>イ</v>
          </cell>
          <cell r="AF1254">
            <v>15</v>
          </cell>
          <cell r="AK1254" t="str">
            <v>豊川</v>
          </cell>
          <cell r="AL1254" t="str">
            <v>下条取水口</v>
          </cell>
          <cell r="AM1254">
            <v>6.8</v>
          </cell>
          <cell r="AO1254" t="str">
            <v>豊橋市</v>
          </cell>
          <cell r="AQ1254" t="str">
            <v/>
          </cell>
          <cell r="AR1254" t="str">
            <v>標準活性汚泥法</v>
          </cell>
          <cell r="AS1254" t="str">
            <v>2320101001</v>
          </cell>
          <cell r="AT1254" t="str">
            <v/>
          </cell>
          <cell r="AU1254" t="str">
            <v>00</v>
          </cell>
          <cell r="AV1254" t="str">
            <v>00</v>
          </cell>
          <cell r="AW1254">
            <v>1</v>
          </cell>
          <cell r="AX1254">
            <v>0</v>
          </cell>
          <cell r="AY1254">
            <v>0</v>
          </cell>
          <cell r="AZ1254">
            <v>0</v>
          </cell>
          <cell r="BA1254">
            <v>0</v>
          </cell>
          <cell r="BD1254" t="str">
            <v/>
          </cell>
          <cell r="BE1254">
            <v>1</v>
          </cell>
          <cell r="BG1254" t="str">
            <v>1001</v>
          </cell>
        </row>
        <row r="1255">
          <cell r="B1255" t="str">
            <v>G232010106100200</v>
          </cell>
          <cell r="C1255" t="str">
            <v>23.愛知県</v>
          </cell>
          <cell r="D1255" t="str">
            <v>201</v>
          </cell>
          <cell r="E1255" t="str">
            <v>豊橋市</v>
          </cell>
          <cell r="F1255" t="str">
            <v>01</v>
          </cell>
          <cell r="G1255" t="str">
            <v>公共 単独</v>
          </cell>
          <cell r="H1255" t="str">
            <v>公共下水道</v>
          </cell>
          <cell r="I1255" t="str">
            <v>単独</v>
          </cell>
          <cell r="J1255" t="str">
            <v>002</v>
          </cell>
          <cell r="K1255" t="str">
            <v>中島処理場</v>
          </cell>
          <cell r="M1255" t="str">
            <v>1</v>
          </cell>
          <cell r="N1255" t="str">
            <v>1</v>
          </cell>
          <cell r="O1255" t="str">
            <v>1</v>
          </cell>
          <cell r="P1255" t="str">
            <v>1</v>
          </cell>
          <cell r="Q1255">
            <v>26846</v>
          </cell>
          <cell r="R1255" t="str">
            <v>昭和</v>
          </cell>
          <cell r="S1255">
            <v>48</v>
          </cell>
          <cell r="T1255">
            <v>7</v>
          </cell>
          <cell r="AB1255">
            <v>291380</v>
          </cell>
          <cell r="AC1255" t="str">
            <v>神野・田原地先</v>
          </cell>
          <cell r="AD1255" t="str">
            <v>Ｃ</v>
          </cell>
          <cell r="AE1255" t="str">
            <v>ロ</v>
          </cell>
          <cell r="AF1255">
            <v>15</v>
          </cell>
          <cell r="AG1255">
            <v>20</v>
          </cell>
          <cell r="AH1255">
            <v>2</v>
          </cell>
          <cell r="AJ1255" t="str">
            <v>柳生川</v>
          </cell>
          <cell r="AQ1255" t="str">
            <v/>
          </cell>
          <cell r="AR1255" t="str">
            <v>ステップ流入式多段硝化脱窒法</v>
          </cell>
          <cell r="AS1255" t="str">
            <v>2320101002</v>
          </cell>
          <cell r="AT1255" t="str">
            <v/>
          </cell>
          <cell r="AU1255" t="str">
            <v>11</v>
          </cell>
          <cell r="AV1255" t="str">
            <v>11</v>
          </cell>
          <cell r="AW1255">
            <v>1</v>
          </cell>
          <cell r="AX1255">
            <v>0</v>
          </cell>
          <cell r="AY1255">
            <v>0</v>
          </cell>
          <cell r="AZ1255">
            <v>0</v>
          </cell>
          <cell r="BA1255">
            <v>0</v>
          </cell>
          <cell r="BD1255" t="str">
            <v/>
          </cell>
          <cell r="BE1255">
            <v>1</v>
          </cell>
          <cell r="BG1255" t="str">
            <v>1111</v>
          </cell>
        </row>
        <row r="1256">
          <cell r="B1256" t="str">
            <v>G232010106100300</v>
          </cell>
          <cell r="C1256" t="str">
            <v>23.愛知県</v>
          </cell>
          <cell r="D1256" t="str">
            <v>201</v>
          </cell>
          <cell r="E1256" t="str">
            <v>豊橋市</v>
          </cell>
          <cell r="F1256" t="str">
            <v>01</v>
          </cell>
          <cell r="G1256" t="str">
            <v>公共 単独</v>
          </cell>
          <cell r="H1256" t="str">
            <v>公共下水道</v>
          </cell>
          <cell r="I1256" t="str">
            <v>単独</v>
          </cell>
          <cell r="J1256" t="str">
            <v>003</v>
          </cell>
          <cell r="K1256" t="str">
            <v>富士見台処理場</v>
          </cell>
          <cell r="M1256" t="str">
            <v>1</v>
          </cell>
          <cell r="N1256" t="str">
            <v>1</v>
          </cell>
          <cell r="Q1256">
            <v>31503</v>
          </cell>
          <cell r="R1256" t="str">
            <v>昭和</v>
          </cell>
          <cell r="S1256">
            <v>61</v>
          </cell>
          <cell r="T1256">
            <v>4</v>
          </cell>
          <cell r="AB1256">
            <v>6910</v>
          </cell>
          <cell r="AC1256" t="str">
            <v>渥美湾</v>
          </cell>
          <cell r="AD1256" t="str">
            <v>Ｂ</v>
          </cell>
          <cell r="AE1256" t="str">
            <v>イ</v>
          </cell>
          <cell r="AF1256">
            <v>15</v>
          </cell>
          <cell r="AI1256" t="str">
            <v>清水川</v>
          </cell>
          <cell r="AJ1256" t="str">
            <v>紙田川</v>
          </cell>
          <cell r="AQ1256" t="str">
            <v/>
          </cell>
          <cell r="AR1256" t="str">
            <v>標準活性汚泥法</v>
          </cell>
          <cell r="AS1256" t="str">
            <v>2320101003</v>
          </cell>
          <cell r="AT1256" t="str">
            <v/>
          </cell>
          <cell r="AU1256" t="str">
            <v>10</v>
          </cell>
          <cell r="AV1256" t="str">
            <v>10</v>
          </cell>
          <cell r="AW1256">
            <v>0</v>
          </cell>
          <cell r="AX1256">
            <v>0</v>
          </cell>
          <cell r="AY1256">
            <v>0</v>
          </cell>
          <cell r="AZ1256">
            <v>0</v>
          </cell>
          <cell r="BA1256">
            <v>0</v>
          </cell>
          <cell r="BD1256" t="str">
            <v/>
          </cell>
          <cell r="BE1256">
            <v>1</v>
          </cell>
          <cell r="BG1256" t="str">
            <v>1100</v>
          </cell>
        </row>
        <row r="1257">
          <cell r="B1257" t="str">
            <v>G232010206100400</v>
          </cell>
          <cell r="C1257" t="str">
            <v>23.愛知県</v>
          </cell>
          <cell r="D1257" t="str">
            <v>201</v>
          </cell>
          <cell r="E1257" t="str">
            <v>豊橋市</v>
          </cell>
          <cell r="F1257" t="str">
            <v>02</v>
          </cell>
          <cell r="G1257" t="str">
            <v>特環 単独</v>
          </cell>
          <cell r="H1257" t="str">
            <v>特定環境保全公共下水道</v>
          </cell>
          <cell r="I1257" t="str">
            <v>単独</v>
          </cell>
          <cell r="J1257" t="str">
            <v>004</v>
          </cell>
          <cell r="K1257" t="str">
            <v>高根処理場</v>
          </cell>
          <cell r="M1257" t="str">
            <v>1</v>
          </cell>
          <cell r="N1257" t="str">
            <v>1</v>
          </cell>
          <cell r="Q1257">
            <v>28246</v>
          </cell>
          <cell r="R1257" t="str">
            <v>昭和</v>
          </cell>
          <cell r="S1257">
            <v>52</v>
          </cell>
          <cell r="T1257">
            <v>5</v>
          </cell>
          <cell r="AB1257">
            <v>4100</v>
          </cell>
          <cell r="AC1257" t="str">
            <v>神野・田原地先</v>
          </cell>
          <cell r="AD1257" t="str">
            <v>Ｃ</v>
          </cell>
          <cell r="AE1257" t="str">
            <v>ロ</v>
          </cell>
          <cell r="AF1257">
            <v>15</v>
          </cell>
          <cell r="AI1257" t="str">
            <v>高塚川</v>
          </cell>
          <cell r="AJ1257" t="str">
            <v>浜田川</v>
          </cell>
          <cell r="AQ1257" t="str">
            <v/>
          </cell>
          <cell r="AR1257" t="str">
            <v>高度処理オキシディションディッチ法</v>
          </cell>
          <cell r="AS1257" t="str">
            <v>2320102004</v>
          </cell>
          <cell r="AT1257" t="str">
            <v/>
          </cell>
          <cell r="AU1257" t="str">
            <v>10</v>
          </cell>
          <cell r="AV1257" t="str">
            <v>10</v>
          </cell>
          <cell r="AW1257">
            <v>0</v>
          </cell>
          <cell r="AX1257">
            <v>0</v>
          </cell>
          <cell r="AY1257">
            <v>0</v>
          </cell>
          <cell r="AZ1257">
            <v>0</v>
          </cell>
          <cell r="BA1257">
            <v>0</v>
          </cell>
          <cell r="BD1257" t="str">
            <v/>
          </cell>
          <cell r="BE1257">
            <v>1</v>
          </cell>
          <cell r="BG1257" t="str">
            <v>1100</v>
          </cell>
        </row>
        <row r="1258">
          <cell r="B1258" t="str">
            <v>G232010206100500</v>
          </cell>
          <cell r="C1258" t="str">
            <v>23.愛知県</v>
          </cell>
          <cell r="D1258" t="str">
            <v>201</v>
          </cell>
          <cell r="E1258" t="str">
            <v>豊橋市</v>
          </cell>
          <cell r="F1258" t="str">
            <v>02</v>
          </cell>
          <cell r="G1258" t="str">
            <v>特環 単独</v>
          </cell>
          <cell r="H1258" t="str">
            <v>特定環境保全公共下水道</v>
          </cell>
          <cell r="I1258" t="str">
            <v>単独</v>
          </cell>
          <cell r="J1258" t="str">
            <v>005</v>
          </cell>
          <cell r="K1258" t="str">
            <v>豊南処理場</v>
          </cell>
          <cell r="M1258" t="str">
            <v>1</v>
          </cell>
          <cell r="N1258" t="str">
            <v>1</v>
          </cell>
          <cell r="Q1258">
            <v>29677</v>
          </cell>
          <cell r="R1258" t="str">
            <v>昭和</v>
          </cell>
          <cell r="S1258">
            <v>56</v>
          </cell>
          <cell r="T1258">
            <v>4</v>
          </cell>
          <cell r="AB1258">
            <v>4820</v>
          </cell>
          <cell r="AC1258" t="str">
            <v>渥美湾</v>
          </cell>
          <cell r="AD1258" t="str">
            <v>Ｂ</v>
          </cell>
          <cell r="AE1258" t="str">
            <v>イ</v>
          </cell>
          <cell r="AF1258">
            <v>15</v>
          </cell>
          <cell r="AI1258" t="str">
            <v>橋詰川</v>
          </cell>
          <cell r="AJ1258" t="str">
            <v>紙田川</v>
          </cell>
          <cell r="AQ1258" t="str">
            <v/>
          </cell>
          <cell r="AR1258" t="str">
            <v>高度処理オキシディションディッチ法</v>
          </cell>
          <cell r="AS1258" t="str">
            <v>2320102005</v>
          </cell>
          <cell r="AT1258" t="str">
            <v/>
          </cell>
          <cell r="AU1258" t="str">
            <v>10</v>
          </cell>
          <cell r="AV1258" t="str">
            <v>10</v>
          </cell>
          <cell r="AW1258">
            <v>0</v>
          </cell>
          <cell r="AX1258">
            <v>0</v>
          </cell>
          <cell r="AY1258">
            <v>0</v>
          </cell>
          <cell r="AZ1258">
            <v>0</v>
          </cell>
          <cell r="BA1258">
            <v>0</v>
          </cell>
          <cell r="BD1258" t="str">
            <v/>
          </cell>
          <cell r="BE1258">
            <v>1</v>
          </cell>
          <cell r="BG1258" t="str">
            <v>1100</v>
          </cell>
        </row>
        <row r="1259">
          <cell r="B1259" t="str">
            <v>G232010206100600</v>
          </cell>
          <cell r="C1259" t="str">
            <v>23.愛知県</v>
          </cell>
          <cell r="D1259" t="str">
            <v>201</v>
          </cell>
          <cell r="E1259" t="str">
            <v>豊橋市</v>
          </cell>
          <cell r="F1259" t="str">
            <v>02</v>
          </cell>
          <cell r="G1259" t="str">
            <v>特環 単独</v>
          </cell>
          <cell r="H1259" t="str">
            <v>特定環境保全公共下水道</v>
          </cell>
          <cell r="I1259" t="str">
            <v>単独</v>
          </cell>
          <cell r="J1259" t="str">
            <v>006</v>
          </cell>
          <cell r="K1259" t="str">
            <v>五並処理場</v>
          </cell>
          <cell r="M1259" t="str">
            <v>1</v>
          </cell>
          <cell r="N1259" t="str">
            <v>1</v>
          </cell>
          <cell r="Q1259">
            <v>32234</v>
          </cell>
          <cell r="R1259" t="str">
            <v>昭和</v>
          </cell>
          <cell r="S1259">
            <v>63</v>
          </cell>
          <cell r="T1259">
            <v>4</v>
          </cell>
          <cell r="AB1259">
            <v>5730</v>
          </cell>
          <cell r="AC1259" t="str">
            <v>梅田川</v>
          </cell>
          <cell r="AD1259" t="str">
            <v>Ｃ</v>
          </cell>
          <cell r="AE1259" t="str">
            <v>ハ</v>
          </cell>
          <cell r="AF1259">
            <v>15</v>
          </cell>
          <cell r="AI1259" t="str">
            <v>落合川</v>
          </cell>
          <cell r="AQ1259" t="str">
            <v/>
          </cell>
          <cell r="AR1259" t="str">
            <v>高度処理オキシディションディッチ法</v>
          </cell>
          <cell r="AS1259" t="str">
            <v>2320102006</v>
          </cell>
          <cell r="AT1259" t="str">
            <v/>
          </cell>
          <cell r="AU1259" t="str">
            <v>10</v>
          </cell>
          <cell r="AV1259" t="str">
            <v>10</v>
          </cell>
          <cell r="AW1259">
            <v>0</v>
          </cell>
          <cell r="AX1259">
            <v>0</v>
          </cell>
          <cell r="AY1259">
            <v>0</v>
          </cell>
          <cell r="AZ1259">
            <v>0</v>
          </cell>
          <cell r="BA1259">
            <v>0</v>
          </cell>
          <cell r="BD1259" t="str">
            <v/>
          </cell>
          <cell r="BE1259">
            <v>1</v>
          </cell>
          <cell r="BG1259" t="str">
            <v>1100</v>
          </cell>
        </row>
        <row r="1260">
          <cell r="B1260" t="str">
            <v>G232030106100100</v>
          </cell>
          <cell r="C1260" t="str">
            <v>23.愛知県</v>
          </cell>
          <cell r="D1260" t="str">
            <v>203</v>
          </cell>
          <cell r="E1260" t="str">
            <v>一宮市</v>
          </cell>
          <cell r="F1260" t="str">
            <v>01</v>
          </cell>
          <cell r="G1260" t="str">
            <v>公共 単独</v>
          </cell>
          <cell r="H1260" t="str">
            <v>公共下水道</v>
          </cell>
          <cell r="I1260" t="str">
            <v>単独</v>
          </cell>
          <cell r="J1260" t="str">
            <v>001</v>
          </cell>
          <cell r="K1260" t="str">
            <v>東部浄化センター</v>
          </cell>
          <cell r="M1260" t="str">
            <v>1</v>
          </cell>
          <cell r="N1260" t="str">
            <v>1</v>
          </cell>
          <cell r="Q1260">
            <v>22221</v>
          </cell>
          <cell r="R1260" t="str">
            <v>昭和</v>
          </cell>
          <cell r="S1260">
            <v>35</v>
          </cell>
          <cell r="T1260">
            <v>11</v>
          </cell>
          <cell r="AB1260">
            <v>61530</v>
          </cell>
          <cell r="AC1260" t="str">
            <v>五条川下流</v>
          </cell>
          <cell r="AD1260" t="str">
            <v>Ｅ</v>
          </cell>
          <cell r="AE1260" t="str">
            <v>イ</v>
          </cell>
          <cell r="AF1260">
            <v>15</v>
          </cell>
          <cell r="AH1260">
            <v>1</v>
          </cell>
          <cell r="AK1260" t="str">
            <v>縁葉川</v>
          </cell>
          <cell r="AQ1260" t="str">
            <v/>
          </cell>
          <cell r="AR1260" t="str">
            <v>標準活性汚泥法</v>
          </cell>
          <cell r="AS1260" t="str">
            <v>2320301001</v>
          </cell>
          <cell r="AT1260" t="str">
            <v/>
          </cell>
          <cell r="AU1260" t="str">
            <v>10</v>
          </cell>
          <cell r="AV1260" t="str">
            <v>10</v>
          </cell>
          <cell r="AW1260">
            <v>0</v>
          </cell>
          <cell r="AX1260">
            <v>0</v>
          </cell>
          <cell r="AY1260">
            <v>0</v>
          </cell>
          <cell r="AZ1260">
            <v>0</v>
          </cell>
          <cell r="BA1260">
            <v>0</v>
          </cell>
          <cell r="BD1260" t="str">
            <v/>
          </cell>
          <cell r="BE1260">
            <v>1</v>
          </cell>
          <cell r="BG1260" t="str">
            <v>1100</v>
          </cell>
        </row>
        <row r="1261">
          <cell r="B1261" t="str">
            <v>G232030106100200</v>
          </cell>
          <cell r="C1261" t="str">
            <v>23.愛知県</v>
          </cell>
          <cell r="D1261" t="str">
            <v>203</v>
          </cell>
          <cell r="E1261" t="str">
            <v>一宮市</v>
          </cell>
          <cell r="F1261" t="str">
            <v>01</v>
          </cell>
          <cell r="G1261" t="str">
            <v>公共 単独</v>
          </cell>
          <cell r="H1261" t="str">
            <v>公共下水道</v>
          </cell>
          <cell r="I1261" t="str">
            <v>単独</v>
          </cell>
          <cell r="J1261" t="str">
            <v>002</v>
          </cell>
          <cell r="K1261" t="str">
            <v>西部浄化センター</v>
          </cell>
          <cell r="M1261" t="str">
            <v>1</v>
          </cell>
          <cell r="N1261" t="str">
            <v>1</v>
          </cell>
          <cell r="Q1261">
            <v>23408</v>
          </cell>
          <cell r="R1261" t="str">
            <v>昭和</v>
          </cell>
          <cell r="S1261">
            <v>39</v>
          </cell>
          <cell r="T1261">
            <v>2</v>
          </cell>
          <cell r="AB1261">
            <v>38700</v>
          </cell>
          <cell r="AC1261" t="str">
            <v>日光川</v>
          </cell>
          <cell r="AD1261" t="str">
            <v>Ｅ</v>
          </cell>
          <cell r="AE1261" t="str">
            <v>ハ</v>
          </cell>
          <cell r="AF1261">
            <v>15</v>
          </cell>
          <cell r="AH1261">
            <v>1</v>
          </cell>
          <cell r="AJ1261" t="str">
            <v>日光川</v>
          </cell>
          <cell r="AQ1261" t="str">
            <v/>
          </cell>
          <cell r="AR1261" t="str">
            <v>標準活性汚泥法</v>
          </cell>
          <cell r="AS1261" t="str">
            <v>2320301002</v>
          </cell>
          <cell r="AT1261" t="str">
            <v/>
          </cell>
          <cell r="AU1261" t="str">
            <v>10</v>
          </cell>
          <cell r="AV1261" t="str">
            <v>10</v>
          </cell>
          <cell r="AW1261">
            <v>0</v>
          </cell>
          <cell r="AX1261">
            <v>0</v>
          </cell>
          <cell r="AY1261">
            <v>0</v>
          </cell>
          <cell r="AZ1261">
            <v>0</v>
          </cell>
          <cell r="BA1261">
            <v>0</v>
          </cell>
          <cell r="BD1261" t="str">
            <v/>
          </cell>
          <cell r="BE1261">
            <v>1</v>
          </cell>
          <cell r="BG1261" t="str">
            <v>1100</v>
          </cell>
        </row>
        <row r="1262">
          <cell r="B1262" t="str">
            <v>G232040106100100</v>
          </cell>
          <cell r="C1262" t="str">
            <v>23.愛知県</v>
          </cell>
          <cell r="D1262" t="str">
            <v>204</v>
          </cell>
          <cell r="E1262" t="str">
            <v>瀬戸市</v>
          </cell>
          <cell r="F1262" t="str">
            <v>01</v>
          </cell>
          <cell r="G1262" t="str">
            <v>公共 単独</v>
          </cell>
          <cell r="H1262" t="str">
            <v>公共下水道</v>
          </cell>
          <cell r="I1262" t="str">
            <v>単独</v>
          </cell>
          <cell r="J1262" t="str">
            <v>001</v>
          </cell>
          <cell r="K1262" t="str">
            <v>西部浄化センター</v>
          </cell>
          <cell r="M1262" t="str">
            <v>1</v>
          </cell>
          <cell r="N1262" t="str">
            <v>1</v>
          </cell>
          <cell r="Q1262">
            <v>25659</v>
          </cell>
          <cell r="R1262" t="str">
            <v>昭和</v>
          </cell>
          <cell r="S1262">
            <v>45</v>
          </cell>
          <cell r="T1262">
            <v>4</v>
          </cell>
          <cell r="AB1262">
            <v>29509</v>
          </cell>
          <cell r="AC1262" t="str">
            <v>矢田川</v>
          </cell>
          <cell r="AD1262" t="str">
            <v>Ｄ</v>
          </cell>
          <cell r="AE1262" t="str">
            <v>ロ</v>
          </cell>
          <cell r="AF1262">
            <v>15</v>
          </cell>
          <cell r="AG1262">
            <v>10</v>
          </cell>
          <cell r="AH1262">
            <v>1</v>
          </cell>
          <cell r="AK1262" t="str">
            <v>矢田川</v>
          </cell>
          <cell r="AQ1262" t="str">
            <v/>
          </cell>
          <cell r="AR1262" t="str">
            <v>標準活性汚泥法</v>
          </cell>
          <cell r="AS1262" t="str">
            <v>2320401001</v>
          </cell>
          <cell r="AT1262" t="str">
            <v/>
          </cell>
          <cell r="AU1262" t="str">
            <v>10</v>
          </cell>
          <cell r="AV1262" t="str">
            <v>10</v>
          </cell>
          <cell r="AW1262">
            <v>0</v>
          </cell>
          <cell r="AX1262">
            <v>0</v>
          </cell>
          <cell r="AY1262">
            <v>0</v>
          </cell>
          <cell r="AZ1262">
            <v>0</v>
          </cell>
          <cell r="BA1262">
            <v>0</v>
          </cell>
          <cell r="BD1262" t="str">
            <v/>
          </cell>
          <cell r="BE1262">
            <v>1</v>
          </cell>
          <cell r="BG1262" t="str">
            <v>1100</v>
          </cell>
        </row>
        <row r="1263">
          <cell r="B1263" t="str">
            <v>G232040106100200</v>
          </cell>
          <cell r="C1263" t="str">
            <v>23.愛知県</v>
          </cell>
          <cell r="D1263" t="str">
            <v>204</v>
          </cell>
          <cell r="E1263" t="str">
            <v>瀬戸市</v>
          </cell>
          <cell r="F1263" t="str">
            <v>01</v>
          </cell>
          <cell r="G1263" t="str">
            <v>公共 単独</v>
          </cell>
          <cell r="H1263" t="str">
            <v>公共下水道</v>
          </cell>
          <cell r="I1263" t="str">
            <v>単独</v>
          </cell>
          <cell r="J1263" t="str">
            <v>002</v>
          </cell>
          <cell r="K1263" t="str">
            <v>水野浄化センター</v>
          </cell>
          <cell r="M1263" t="str">
            <v>1</v>
          </cell>
          <cell r="N1263" t="str">
            <v>1</v>
          </cell>
          <cell r="Q1263">
            <v>26604</v>
          </cell>
          <cell r="R1263" t="str">
            <v>昭和</v>
          </cell>
          <cell r="S1263">
            <v>47</v>
          </cell>
          <cell r="T1263">
            <v>11</v>
          </cell>
          <cell r="AB1263">
            <v>15380</v>
          </cell>
          <cell r="AC1263" t="str">
            <v>庄内川</v>
          </cell>
          <cell r="AD1263" t="str">
            <v>Ｄ</v>
          </cell>
          <cell r="AE1263" t="str">
            <v>イ</v>
          </cell>
          <cell r="AF1263">
            <v>15</v>
          </cell>
          <cell r="AG1263">
            <v>10</v>
          </cell>
          <cell r="AH1263">
            <v>1</v>
          </cell>
          <cell r="AI1263" t="str">
            <v>水野川</v>
          </cell>
          <cell r="AK1263" t="str">
            <v>庄内川</v>
          </cell>
          <cell r="AQ1263" t="str">
            <v/>
          </cell>
          <cell r="AR1263" t="str">
            <v>標準活性汚泥法</v>
          </cell>
          <cell r="AS1263" t="str">
            <v>2320401002</v>
          </cell>
          <cell r="AT1263" t="str">
            <v/>
          </cell>
          <cell r="AU1263" t="str">
            <v>10</v>
          </cell>
          <cell r="AV1263" t="str">
            <v>10</v>
          </cell>
          <cell r="AW1263">
            <v>0</v>
          </cell>
          <cell r="AX1263">
            <v>0</v>
          </cell>
          <cell r="AY1263">
            <v>0</v>
          </cell>
          <cell r="AZ1263">
            <v>0</v>
          </cell>
          <cell r="BA1263">
            <v>0</v>
          </cell>
          <cell r="BD1263" t="str">
            <v/>
          </cell>
          <cell r="BE1263">
            <v>1</v>
          </cell>
          <cell r="BG1263" t="str">
            <v>1100</v>
          </cell>
        </row>
        <row r="1264">
          <cell r="B1264" t="str">
            <v>G232060106100100</v>
          </cell>
          <cell r="C1264" t="str">
            <v>23.愛知県</v>
          </cell>
          <cell r="D1264" t="str">
            <v>206</v>
          </cell>
          <cell r="E1264" t="str">
            <v>春日井市</v>
          </cell>
          <cell r="F1264" t="str">
            <v>01</v>
          </cell>
          <cell r="G1264" t="str">
            <v>公共 単独</v>
          </cell>
          <cell r="H1264" t="str">
            <v>公共下水道</v>
          </cell>
          <cell r="I1264" t="str">
            <v>単独</v>
          </cell>
          <cell r="J1264" t="str">
            <v>001</v>
          </cell>
          <cell r="K1264" t="str">
            <v>高蔵寺浄化センター</v>
          </cell>
          <cell r="M1264" t="str">
            <v>1</v>
          </cell>
          <cell r="N1264" t="str">
            <v>1</v>
          </cell>
          <cell r="Q1264">
            <v>24959</v>
          </cell>
          <cell r="R1264" t="str">
            <v>昭和</v>
          </cell>
          <cell r="S1264">
            <v>43</v>
          </cell>
          <cell r="T1264">
            <v>5</v>
          </cell>
          <cell r="AB1264">
            <v>40632</v>
          </cell>
          <cell r="AC1264" t="str">
            <v>庄内川中流(2)</v>
          </cell>
          <cell r="AD1264" t="str">
            <v>Ｄ</v>
          </cell>
          <cell r="AE1264" t="str">
            <v>イ</v>
          </cell>
          <cell r="AF1264">
            <v>15</v>
          </cell>
          <cell r="AI1264" t="str">
            <v>新繁田川</v>
          </cell>
          <cell r="AK1264" t="str">
            <v>庄内川</v>
          </cell>
          <cell r="AQ1264" t="str">
            <v/>
          </cell>
          <cell r="AR1264" t="str">
            <v>標準活性汚泥法</v>
          </cell>
          <cell r="AS1264" t="str">
            <v>2320601001</v>
          </cell>
          <cell r="AT1264" t="str">
            <v/>
          </cell>
          <cell r="AU1264" t="str">
            <v>10</v>
          </cell>
          <cell r="AV1264" t="str">
            <v>10</v>
          </cell>
          <cell r="AW1264">
            <v>0</v>
          </cell>
          <cell r="AX1264">
            <v>0</v>
          </cell>
          <cell r="AY1264">
            <v>0</v>
          </cell>
          <cell r="AZ1264">
            <v>0</v>
          </cell>
          <cell r="BA1264">
            <v>0</v>
          </cell>
          <cell r="BD1264" t="str">
            <v/>
          </cell>
          <cell r="BE1264">
            <v>1</v>
          </cell>
          <cell r="BG1264" t="str">
            <v>1100</v>
          </cell>
        </row>
        <row r="1265">
          <cell r="B1265" t="str">
            <v>G232060106100200</v>
          </cell>
          <cell r="C1265" t="str">
            <v>23.愛知県</v>
          </cell>
          <cell r="D1265" t="str">
            <v>206</v>
          </cell>
          <cell r="E1265" t="str">
            <v>春日井市</v>
          </cell>
          <cell r="F1265" t="str">
            <v>01</v>
          </cell>
          <cell r="G1265" t="str">
            <v>公共 単独</v>
          </cell>
          <cell r="H1265" t="str">
            <v>公共下水道</v>
          </cell>
          <cell r="I1265" t="str">
            <v>単独</v>
          </cell>
          <cell r="J1265" t="str">
            <v>002</v>
          </cell>
          <cell r="K1265" t="str">
            <v>勝西浄化センター</v>
          </cell>
          <cell r="M1265" t="str">
            <v>1</v>
          </cell>
          <cell r="N1265" t="str">
            <v>1</v>
          </cell>
          <cell r="Q1265">
            <v>27912</v>
          </cell>
          <cell r="R1265" t="str">
            <v>昭和</v>
          </cell>
          <cell r="S1265">
            <v>51</v>
          </cell>
          <cell r="T1265">
            <v>6</v>
          </cell>
          <cell r="AB1265">
            <v>23929</v>
          </cell>
          <cell r="AC1265" t="str">
            <v>庄内川中流（２）</v>
          </cell>
          <cell r="AD1265" t="str">
            <v>Ｄ</v>
          </cell>
          <cell r="AE1265" t="str">
            <v>イ</v>
          </cell>
          <cell r="AF1265">
            <v>15</v>
          </cell>
          <cell r="AI1265" t="str">
            <v>八田川</v>
          </cell>
          <cell r="AK1265" t="str">
            <v>庄内川</v>
          </cell>
          <cell r="AQ1265" t="str">
            <v/>
          </cell>
          <cell r="AR1265" t="str">
            <v>標準活性汚泥法</v>
          </cell>
          <cell r="AS1265" t="str">
            <v>2320601002</v>
          </cell>
          <cell r="AT1265" t="str">
            <v/>
          </cell>
          <cell r="AU1265" t="str">
            <v>10</v>
          </cell>
          <cell r="AV1265" t="str">
            <v>10</v>
          </cell>
          <cell r="AW1265">
            <v>0</v>
          </cell>
          <cell r="AX1265">
            <v>0</v>
          </cell>
          <cell r="AY1265">
            <v>0</v>
          </cell>
          <cell r="AZ1265">
            <v>0</v>
          </cell>
          <cell r="BA1265">
            <v>0</v>
          </cell>
          <cell r="BD1265" t="str">
            <v/>
          </cell>
          <cell r="BE1265">
            <v>1</v>
          </cell>
          <cell r="BG1265" t="str">
            <v>1100</v>
          </cell>
        </row>
        <row r="1266">
          <cell r="B1266" t="str">
            <v>G232060106100300</v>
          </cell>
          <cell r="C1266" t="str">
            <v>23.愛知県</v>
          </cell>
          <cell r="D1266" t="str">
            <v>206</v>
          </cell>
          <cell r="E1266" t="str">
            <v>春日井市</v>
          </cell>
          <cell r="F1266" t="str">
            <v>01</v>
          </cell>
          <cell r="G1266" t="str">
            <v>公共 単独</v>
          </cell>
          <cell r="H1266" t="str">
            <v>公共下水道</v>
          </cell>
          <cell r="I1266" t="str">
            <v>単独</v>
          </cell>
          <cell r="J1266" t="str">
            <v>003</v>
          </cell>
          <cell r="K1266" t="str">
            <v>南部浄化センター</v>
          </cell>
          <cell r="M1266" t="str">
            <v>1</v>
          </cell>
          <cell r="N1266" t="str">
            <v>1</v>
          </cell>
          <cell r="Q1266">
            <v>35490</v>
          </cell>
          <cell r="R1266" t="str">
            <v>平成</v>
          </cell>
          <cell r="S1266">
            <v>9</v>
          </cell>
          <cell r="T1266">
            <v>3</v>
          </cell>
          <cell r="AB1266">
            <v>35700</v>
          </cell>
          <cell r="AC1266" t="str">
            <v>庄内川中流(2)</v>
          </cell>
          <cell r="AD1266" t="str">
            <v>Ｄ</v>
          </cell>
          <cell r="AE1266" t="str">
            <v>イ</v>
          </cell>
          <cell r="AF1266">
            <v>15</v>
          </cell>
          <cell r="AG1266">
            <v>15</v>
          </cell>
          <cell r="AH1266">
            <v>1</v>
          </cell>
          <cell r="AK1266" t="str">
            <v>庄内川</v>
          </cell>
          <cell r="AQ1266" t="str">
            <v/>
          </cell>
          <cell r="AR1266" t="str">
            <v>標準活性汚泥法</v>
          </cell>
          <cell r="AS1266" t="str">
            <v>2320601003</v>
          </cell>
          <cell r="AT1266" t="str">
            <v/>
          </cell>
          <cell r="AU1266" t="str">
            <v>10</v>
          </cell>
          <cell r="AV1266" t="str">
            <v>10</v>
          </cell>
          <cell r="AW1266">
            <v>0</v>
          </cell>
          <cell r="AX1266">
            <v>0</v>
          </cell>
          <cell r="AY1266">
            <v>0</v>
          </cell>
          <cell r="AZ1266">
            <v>0</v>
          </cell>
          <cell r="BA1266">
            <v>0</v>
          </cell>
          <cell r="BD1266" t="str">
            <v/>
          </cell>
          <cell r="BE1266">
            <v>1</v>
          </cell>
          <cell r="BG1266" t="str">
            <v>1100</v>
          </cell>
        </row>
        <row r="1267">
          <cell r="B1267" t="str">
            <v>G232080106100100</v>
          </cell>
          <cell r="C1267" t="str">
            <v>23.愛知県</v>
          </cell>
          <cell r="D1267" t="str">
            <v>208</v>
          </cell>
          <cell r="E1267" t="str">
            <v>津島市</v>
          </cell>
          <cell r="F1267" t="str">
            <v>01</v>
          </cell>
          <cell r="G1267" t="str">
            <v>公共 単独</v>
          </cell>
          <cell r="H1267" t="str">
            <v>公共下水道</v>
          </cell>
          <cell r="I1267" t="str">
            <v>単独</v>
          </cell>
          <cell r="J1267" t="str">
            <v>001</v>
          </cell>
          <cell r="K1267" t="str">
            <v>津島市下水終末処理場</v>
          </cell>
          <cell r="M1267" t="str">
            <v>1</v>
          </cell>
          <cell r="N1267" t="str">
            <v>1</v>
          </cell>
          <cell r="Q1267">
            <v>23712</v>
          </cell>
          <cell r="R1267" t="str">
            <v>昭和</v>
          </cell>
          <cell r="S1267">
            <v>39</v>
          </cell>
          <cell r="T1267">
            <v>12</v>
          </cell>
          <cell r="AB1267">
            <v>22300</v>
          </cell>
          <cell r="AC1267" t="str">
            <v>日光川</v>
          </cell>
          <cell r="AD1267" t="str">
            <v>Ｅ</v>
          </cell>
          <cell r="AE1267" t="str">
            <v>ハ</v>
          </cell>
          <cell r="AJ1267" t="str">
            <v>日光川</v>
          </cell>
          <cell r="AQ1267" t="str">
            <v/>
          </cell>
          <cell r="AR1267" t="str">
            <v>標準活性汚泥法</v>
          </cell>
          <cell r="AS1267" t="str">
            <v>2320801001</v>
          </cell>
          <cell r="AT1267" t="str">
            <v/>
          </cell>
          <cell r="AU1267" t="str">
            <v>10</v>
          </cell>
          <cell r="AV1267" t="str">
            <v>10</v>
          </cell>
          <cell r="AW1267">
            <v>0</v>
          </cell>
          <cell r="AX1267">
            <v>0</v>
          </cell>
          <cell r="AY1267">
            <v>0</v>
          </cell>
          <cell r="AZ1267">
            <v>0</v>
          </cell>
          <cell r="BA1267">
            <v>0</v>
          </cell>
          <cell r="BD1267" t="str">
            <v/>
          </cell>
          <cell r="BE1267">
            <v>1</v>
          </cell>
          <cell r="BG1267" t="str">
            <v>1100</v>
          </cell>
        </row>
        <row r="1268">
          <cell r="B1268" t="str">
            <v>G232110206100100</v>
          </cell>
          <cell r="C1268" t="str">
            <v>23.愛知県</v>
          </cell>
          <cell r="D1268" t="str">
            <v>211</v>
          </cell>
          <cell r="E1268" t="str">
            <v>豊田市</v>
          </cell>
          <cell r="F1268" t="str">
            <v>02</v>
          </cell>
          <cell r="G1268" t="str">
            <v>特環 単独</v>
          </cell>
          <cell r="H1268" t="str">
            <v>特定環境保全公共下水道</v>
          </cell>
          <cell r="I1268" t="str">
            <v>単独</v>
          </cell>
          <cell r="J1268" t="str">
            <v>001</v>
          </cell>
          <cell r="K1268" t="str">
            <v>鞍ヶ池浄化センター</v>
          </cell>
          <cell r="M1268" t="str">
            <v>1</v>
          </cell>
          <cell r="N1268" t="str">
            <v>1</v>
          </cell>
          <cell r="Q1268">
            <v>35065</v>
          </cell>
          <cell r="R1268" t="str">
            <v>平成</v>
          </cell>
          <cell r="S1268">
            <v>8</v>
          </cell>
          <cell r="T1268">
            <v>1</v>
          </cell>
          <cell r="AB1268">
            <v>2440</v>
          </cell>
          <cell r="AC1268" t="str">
            <v>矢作川</v>
          </cell>
          <cell r="AD1268" t="str">
            <v>Ａ</v>
          </cell>
          <cell r="AE1268" t="str">
            <v>ハ</v>
          </cell>
          <cell r="AI1268" t="str">
            <v>池田川</v>
          </cell>
          <cell r="AK1268" t="str">
            <v>市木川</v>
          </cell>
          <cell r="AL1268" t="str">
            <v>無</v>
          </cell>
          <cell r="AQ1268" t="str">
            <v/>
          </cell>
          <cell r="AR1268" t="str">
            <v>その他処理方法</v>
          </cell>
          <cell r="AS1268" t="str">
            <v>2321102001</v>
          </cell>
          <cell r="AT1268" t="str">
            <v/>
          </cell>
          <cell r="AU1268" t="str">
            <v>10</v>
          </cell>
          <cell r="AV1268" t="str">
            <v>10</v>
          </cell>
          <cell r="AW1268">
            <v>0</v>
          </cell>
          <cell r="AX1268">
            <v>0</v>
          </cell>
          <cell r="AY1268">
            <v>0</v>
          </cell>
          <cell r="AZ1268">
            <v>0</v>
          </cell>
          <cell r="BA1268">
            <v>0</v>
          </cell>
          <cell r="BD1268" t="str">
            <v/>
          </cell>
          <cell r="BE1268">
            <v>1</v>
          </cell>
          <cell r="BG1268" t="str">
            <v>1100</v>
          </cell>
        </row>
        <row r="1269">
          <cell r="B1269" t="str">
            <v>G232140106100100</v>
          </cell>
          <cell r="C1269" t="str">
            <v>23.愛知県</v>
          </cell>
          <cell r="D1269" t="str">
            <v>214</v>
          </cell>
          <cell r="E1269" t="str">
            <v>蒲郡市</v>
          </cell>
          <cell r="F1269" t="str">
            <v>01</v>
          </cell>
          <cell r="G1269" t="str">
            <v>公共 単独</v>
          </cell>
          <cell r="H1269" t="str">
            <v>公共下水道</v>
          </cell>
          <cell r="I1269" t="str">
            <v>単独</v>
          </cell>
          <cell r="J1269" t="str">
            <v>001</v>
          </cell>
          <cell r="K1269" t="str">
            <v>蒲郡市下水道浄化センター</v>
          </cell>
          <cell r="M1269" t="str">
            <v>1</v>
          </cell>
          <cell r="N1269" t="str">
            <v>1</v>
          </cell>
          <cell r="O1269" t="str">
            <v>1</v>
          </cell>
          <cell r="P1269" t="str">
            <v>1</v>
          </cell>
          <cell r="Q1269">
            <v>28338</v>
          </cell>
          <cell r="R1269" t="str">
            <v>昭和</v>
          </cell>
          <cell r="S1269">
            <v>52</v>
          </cell>
          <cell r="T1269">
            <v>8</v>
          </cell>
          <cell r="AB1269">
            <v>106400</v>
          </cell>
          <cell r="AC1269" t="str">
            <v>蒲郡地先海域</v>
          </cell>
          <cell r="AD1269" t="str">
            <v>Ｃ</v>
          </cell>
          <cell r="AE1269" t="str">
            <v>ロ</v>
          </cell>
          <cell r="AF1269">
            <v>15</v>
          </cell>
          <cell r="AG1269">
            <v>15</v>
          </cell>
          <cell r="AH1269">
            <v>1</v>
          </cell>
          <cell r="AI1269" t="str">
            <v>渥美湾</v>
          </cell>
          <cell r="AQ1269" t="str">
            <v/>
          </cell>
          <cell r="AR1269" t="str">
            <v>ステップ流入式多段硝化脱窒法</v>
          </cell>
          <cell r="AS1269" t="str">
            <v>2321401001</v>
          </cell>
          <cell r="AT1269" t="str">
            <v/>
          </cell>
          <cell r="AU1269" t="str">
            <v>11</v>
          </cell>
          <cell r="AV1269" t="str">
            <v>11</v>
          </cell>
          <cell r="AW1269">
            <v>1</v>
          </cell>
          <cell r="AX1269">
            <v>0</v>
          </cell>
          <cell r="AY1269">
            <v>0</v>
          </cell>
          <cell r="AZ1269">
            <v>0</v>
          </cell>
          <cell r="BA1269">
            <v>0</v>
          </cell>
          <cell r="BD1269" t="str">
            <v/>
          </cell>
          <cell r="BE1269">
            <v>1</v>
          </cell>
          <cell r="BG1269" t="str">
            <v>1111</v>
          </cell>
        </row>
        <row r="1270">
          <cell r="B1270" t="str">
            <v>G232160106100100</v>
          </cell>
          <cell r="C1270" t="str">
            <v>23.愛知県</v>
          </cell>
          <cell r="D1270" t="str">
            <v>216</v>
          </cell>
          <cell r="E1270" t="str">
            <v>常滑市</v>
          </cell>
          <cell r="F1270" t="str">
            <v>01</v>
          </cell>
          <cell r="G1270" t="str">
            <v>公共 単独</v>
          </cell>
          <cell r="H1270" t="str">
            <v>公共下水道</v>
          </cell>
          <cell r="I1270" t="str">
            <v>単独</v>
          </cell>
          <cell r="J1270" t="str">
            <v>001</v>
          </cell>
          <cell r="K1270" t="str">
            <v>常滑浄化センター</v>
          </cell>
          <cell r="M1270" t="str">
            <v>1</v>
          </cell>
          <cell r="N1270" t="str">
            <v>1</v>
          </cell>
          <cell r="P1270" t="str">
            <v>1</v>
          </cell>
          <cell r="Q1270">
            <v>36982</v>
          </cell>
          <cell r="R1270" t="str">
            <v>平成</v>
          </cell>
          <cell r="S1270">
            <v>13</v>
          </cell>
          <cell r="T1270">
            <v>4</v>
          </cell>
          <cell r="AB1270">
            <v>77675</v>
          </cell>
          <cell r="AC1270" t="str">
            <v>伊勢湾－常滑地先</v>
          </cell>
          <cell r="AD1270" t="str">
            <v>Ｂ</v>
          </cell>
          <cell r="AE1270" t="str">
            <v>ロ</v>
          </cell>
          <cell r="AF1270">
            <v>15</v>
          </cell>
          <cell r="AG1270">
            <v>10</v>
          </cell>
          <cell r="AH1270">
            <v>1</v>
          </cell>
          <cell r="AI1270" t="str">
            <v>伊勢湾</v>
          </cell>
          <cell r="AQ1270" t="str">
            <v/>
          </cell>
          <cell r="AR1270" t="str">
            <v>嫌気無酸素好気法</v>
          </cell>
          <cell r="AS1270" t="str">
            <v>2321601001</v>
          </cell>
          <cell r="AT1270" t="str">
            <v/>
          </cell>
          <cell r="AU1270" t="str">
            <v>10</v>
          </cell>
          <cell r="AV1270" t="str">
            <v>10</v>
          </cell>
          <cell r="AW1270">
            <v>1</v>
          </cell>
          <cell r="AX1270">
            <v>0</v>
          </cell>
          <cell r="AY1270">
            <v>0</v>
          </cell>
          <cell r="AZ1270">
            <v>0</v>
          </cell>
          <cell r="BA1270">
            <v>0</v>
          </cell>
          <cell r="BD1270" t="str">
            <v/>
          </cell>
          <cell r="BE1270">
            <v>1</v>
          </cell>
          <cell r="BG1270" t="str">
            <v>1101</v>
          </cell>
        </row>
        <row r="1271">
          <cell r="B1271" t="str">
            <v>G232220106100100</v>
          </cell>
          <cell r="C1271" t="str">
            <v>23.愛知県</v>
          </cell>
          <cell r="D1271" t="str">
            <v>222</v>
          </cell>
          <cell r="E1271" t="str">
            <v>東海市</v>
          </cell>
          <cell r="F1271" t="str">
            <v>01</v>
          </cell>
          <cell r="G1271" t="str">
            <v>公共 単独</v>
          </cell>
          <cell r="H1271" t="str">
            <v>公共下水道</v>
          </cell>
          <cell r="I1271" t="str">
            <v>単独</v>
          </cell>
          <cell r="J1271" t="str">
            <v>001</v>
          </cell>
          <cell r="K1271" t="str">
            <v>東海市浄化センター</v>
          </cell>
          <cell r="M1271" t="str">
            <v>1</v>
          </cell>
          <cell r="N1271" t="str">
            <v>1</v>
          </cell>
          <cell r="Q1271">
            <v>33147</v>
          </cell>
          <cell r="R1271" t="str">
            <v>平成</v>
          </cell>
          <cell r="S1271">
            <v>2</v>
          </cell>
          <cell r="T1271">
            <v>10</v>
          </cell>
          <cell r="AB1271">
            <v>87074</v>
          </cell>
          <cell r="AC1271" t="str">
            <v>名古屋港（甲）</v>
          </cell>
          <cell r="AD1271" t="str">
            <v>Ｃ</v>
          </cell>
          <cell r="AE1271" t="str">
            <v>ハ</v>
          </cell>
          <cell r="AI1271" t="str">
            <v>名古屋港</v>
          </cell>
          <cell r="AQ1271" t="str">
            <v/>
          </cell>
          <cell r="AR1271" t="str">
            <v>ステップ流入式多段硝化脱窒法</v>
          </cell>
          <cell r="AS1271" t="str">
            <v>2322201001</v>
          </cell>
          <cell r="AT1271" t="str">
            <v/>
          </cell>
          <cell r="AU1271" t="str">
            <v>10</v>
          </cell>
          <cell r="AV1271" t="str">
            <v>10</v>
          </cell>
          <cell r="AW1271">
            <v>0</v>
          </cell>
          <cell r="AX1271">
            <v>0</v>
          </cell>
          <cell r="AY1271">
            <v>0</v>
          </cell>
          <cell r="AZ1271">
            <v>0</v>
          </cell>
          <cell r="BA1271">
            <v>0</v>
          </cell>
          <cell r="BD1271" t="str">
            <v/>
          </cell>
          <cell r="BE1271">
            <v>1</v>
          </cell>
          <cell r="BG1271" t="str">
            <v>1100</v>
          </cell>
        </row>
        <row r="1272">
          <cell r="B1272" t="str">
            <v>G232240106100100</v>
          </cell>
          <cell r="C1272" t="str">
            <v>23.愛知県</v>
          </cell>
          <cell r="D1272" t="str">
            <v>224</v>
          </cell>
          <cell r="E1272" t="str">
            <v>知多市</v>
          </cell>
          <cell r="F1272" t="str">
            <v>01</v>
          </cell>
          <cell r="G1272" t="str">
            <v>公共 単独</v>
          </cell>
          <cell r="H1272" t="str">
            <v>公共下水道</v>
          </cell>
          <cell r="I1272" t="str">
            <v>単独</v>
          </cell>
          <cell r="J1272" t="str">
            <v>001</v>
          </cell>
          <cell r="K1272" t="str">
            <v>南部浄化センター</v>
          </cell>
          <cell r="M1272" t="str">
            <v>1</v>
          </cell>
          <cell r="N1272" t="str">
            <v>1</v>
          </cell>
          <cell r="O1272" t="str">
            <v>1</v>
          </cell>
          <cell r="Q1272">
            <v>30407</v>
          </cell>
          <cell r="R1272" t="str">
            <v>昭和</v>
          </cell>
          <cell r="S1272">
            <v>58</v>
          </cell>
          <cell r="T1272">
            <v>4</v>
          </cell>
          <cell r="AB1272">
            <v>65722</v>
          </cell>
          <cell r="AC1272" t="str">
            <v>名古屋港（甲）</v>
          </cell>
          <cell r="AD1272" t="str">
            <v>Ｃ</v>
          </cell>
          <cell r="AE1272" t="str">
            <v>ハ</v>
          </cell>
          <cell r="AF1272">
            <v>15</v>
          </cell>
          <cell r="AG1272">
            <v>9.8000000000000007</v>
          </cell>
          <cell r="AH1272">
            <v>1</v>
          </cell>
          <cell r="AI1272" t="str">
            <v>伊勢湾</v>
          </cell>
          <cell r="AQ1272" t="str">
            <v/>
          </cell>
          <cell r="AR1272" t="str">
            <v>ステップ流入式多段硝化脱窒法</v>
          </cell>
          <cell r="AS1272" t="str">
            <v>2322401001</v>
          </cell>
          <cell r="AT1272" t="str">
            <v/>
          </cell>
          <cell r="AU1272" t="str">
            <v>11</v>
          </cell>
          <cell r="AV1272" t="str">
            <v>11</v>
          </cell>
          <cell r="AW1272">
            <v>0</v>
          </cell>
          <cell r="AX1272">
            <v>0</v>
          </cell>
          <cell r="AY1272">
            <v>0</v>
          </cell>
          <cell r="AZ1272">
            <v>0</v>
          </cell>
          <cell r="BA1272">
            <v>0</v>
          </cell>
          <cell r="BD1272" t="str">
            <v/>
          </cell>
          <cell r="BE1272">
            <v>1</v>
          </cell>
          <cell r="BG1272" t="str">
            <v>1110</v>
          </cell>
        </row>
        <row r="1273">
          <cell r="B1273" t="str">
            <v>G232260106100100</v>
          </cell>
          <cell r="C1273" t="str">
            <v>23.愛知県</v>
          </cell>
          <cell r="D1273" t="str">
            <v>226</v>
          </cell>
          <cell r="E1273" t="str">
            <v>尾張旭市</v>
          </cell>
          <cell r="F1273" t="str">
            <v>01</v>
          </cell>
          <cell r="G1273" t="str">
            <v>公共 単独</v>
          </cell>
          <cell r="H1273" t="str">
            <v>公共下水道</v>
          </cell>
          <cell r="I1273" t="str">
            <v>単独</v>
          </cell>
          <cell r="J1273" t="str">
            <v>001</v>
          </cell>
          <cell r="K1273" t="str">
            <v>東部浄化センター</v>
          </cell>
          <cell r="M1273" t="str">
            <v>1</v>
          </cell>
          <cell r="N1273" t="str">
            <v>1</v>
          </cell>
          <cell r="Q1273">
            <v>31422</v>
          </cell>
          <cell r="R1273" t="str">
            <v>昭和</v>
          </cell>
          <cell r="S1273">
            <v>61</v>
          </cell>
          <cell r="T1273">
            <v>1</v>
          </cell>
          <cell r="AB1273">
            <v>12840</v>
          </cell>
          <cell r="AC1273" t="str">
            <v>矢田川上流</v>
          </cell>
          <cell r="AD1273" t="str">
            <v>Ｄ</v>
          </cell>
          <cell r="AE1273" t="str">
            <v>ロ</v>
          </cell>
          <cell r="AF1273">
            <v>15</v>
          </cell>
          <cell r="AI1273" t="str">
            <v>三葉川雨水幹線</v>
          </cell>
          <cell r="AK1273" t="str">
            <v>矢田川</v>
          </cell>
          <cell r="AQ1273" t="str">
            <v/>
          </cell>
          <cell r="AR1273" t="str">
            <v>標準活性汚泥法</v>
          </cell>
          <cell r="AS1273" t="str">
            <v>2322601001</v>
          </cell>
          <cell r="AT1273" t="str">
            <v/>
          </cell>
          <cell r="AU1273" t="str">
            <v>10</v>
          </cell>
          <cell r="AV1273" t="str">
            <v>10</v>
          </cell>
          <cell r="AW1273">
            <v>0</v>
          </cell>
          <cell r="AX1273">
            <v>0</v>
          </cell>
          <cell r="AY1273">
            <v>0</v>
          </cell>
          <cell r="AZ1273">
            <v>0</v>
          </cell>
          <cell r="BA1273">
            <v>0</v>
          </cell>
          <cell r="BD1273" t="str">
            <v/>
          </cell>
          <cell r="BE1273">
            <v>1</v>
          </cell>
          <cell r="BG1273" t="str">
            <v>1100</v>
          </cell>
        </row>
        <row r="1274">
          <cell r="B1274" t="str">
            <v>G232260106100200</v>
          </cell>
          <cell r="C1274" t="str">
            <v>23.愛知県</v>
          </cell>
          <cell r="D1274" t="str">
            <v>226</v>
          </cell>
          <cell r="E1274" t="str">
            <v>尾張旭市</v>
          </cell>
          <cell r="F1274" t="str">
            <v>01</v>
          </cell>
          <cell r="G1274" t="str">
            <v>公共 単独</v>
          </cell>
          <cell r="H1274" t="str">
            <v>公共下水道</v>
          </cell>
          <cell r="I1274" t="str">
            <v>単独</v>
          </cell>
          <cell r="J1274" t="str">
            <v>002</v>
          </cell>
          <cell r="K1274" t="str">
            <v>西部浄化センター</v>
          </cell>
          <cell r="M1274" t="str">
            <v>1</v>
          </cell>
          <cell r="N1274" t="str">
            <v>1</v>
          </cell>
          <cell r="Q1274">
            <v>36691</v>
          </cell>
          <cell r="R1274" t="str">
            <v>平成</v>
          </cell>
          <cell r="S1274">
            <v>12</v>
          </cell>
          <cell r="T1274">
            <v>6</v>
          </cell>
          <cell r="AB1274">
            <v>29230</v>
          </cell>
          <cell r="AC1274" t="str">
            <v>矢田川上流</v>
          </cell>
          <cell r="AD1274" t="str">
            <v>Ｄ</v>
          </cell>
          <cell r="AE1274" t="str">
            <v>ロ</v>
          </cell>
          <cell r="AF1274">
            <v>15</v>
          </cell>
          <cell r="AK1274" t="str">
            <v>矢田川</v>
          </cell>
          <cell r="AQ1274" t="str">
            <v/>
          </cell>
          <cell r="AR1274" t="str">
            <v>標準活性汚泥法</v>
          </cell>
          <cell r="AS1274" t="str">
            <v>2322601002</v>
          </cell>
          <cell r="AT1274" t="str">
            <v/>
          </cell>
          <cell r="AU1274" t="str">
            <v>10</v>
          </cell>
          <cell r="AV1274" t="str">
            <v>10</v>
          </cell>
          <cell r="AW1274">
            <v>0</v>
          </cell>
          <cell r="AX1274">
            <v>0</v>
          </cell>
          <cell r="AY1274">
            <v>0</v>
          </cell>
          <cell r="AZ1274">
            <v>0</v>
          </cell>
          <cell r="BA1274">
            <v>0</v>
          </cell>
          <cell r="BD1274" t="str">
            <v/>
          </cell>
          <cell r="BE1274">
            <v>1</v>
          </cell>
          <cell r="BG1274" t="str">
            <v>1100</v>
          </cell>
        </row>
        <row r="1275">
          <cell r="B1275" t="str">
            <v>G232300106100100</v>
          </cell>
          <cell r="C1275" t="str">
            <v>23.愛知県</v>
          </cell>
          <cell r="D1275" t="str">
            <v>230</v>
          </cell>
          <cell r="E1275" t="str">
            <v>日進市</v>
          </cell>
          <cell r="F1275" t="str">
            <v>01</v>
          </cell>
          <cell r="G1275" t="str">
            <v>公共 単独</v>
          </cell>
          <cell r="H1275" t="str">
            <v>公共下水道</v>
          </cell>
          <cell r="I1275" t="str">
            <v>単独</v>
          </cell>
          <cell r="J1275" t="str">
            <v>001</v>
          </cell>
          <cell r="K1275" t="str">
            <v>北部浄化センター</v>
          </cell>
          <cell r="M1275" t="str">
            <v>1</v>
          </cell>
          <cell r="N1275" t="str">
            <v>1</v>
          </cell>
          <cell r="Q1275">
            <v>32599</v>
          </cell>
          <cell r="R1275" t="str">
            <v>平成</v>
          </cell>
          <cell r="S1275">
            <v>1</v>
          </cell>
          <cell r="T1275">
            <v>4</v>
          </cell>
          <cell r="AB1275">
            <v>13600</v>
          </cell>
          <cell r="AC1275" t="str">
            <v>天白川</v>
          </cell>
          <cell r="AD1275" t="str">
            <v>Ｃ</v>
          </cell>
          <cell r="AE1275" t="str">
            <v>イ</v>
          </cell>
          <cell r="AF1275">
            <v>15</v>
          </cell>
          <cell r="AG1275">
            <v>20</v>
          </cell>
          <cell r="AH1275">
            <v>1.5</v>
          </cell>
          <cell r="AI1275" t="str">
            <v>小川</v>
          </cell>
          <cell r="AJ1275" t="str">
            <v>天白川</v>
          </cell>
          <cell r="AQ1275" t="str">
            <v/>
          </cell>
          <cell r="AR1275" t="str">
            <v>回分式活性汚泥法</v>
          </cell>
          <cell r="AS1275" t="str">
            <v>2323001001</v>
          </cell>
          <cell r="AT1275" t="str">
            <v/>
          </cell>
          <cell r="AU1275" t="str">
            <v>10</v>
          </cell>
          <cell r="AV1275" t="str">
            <v>10</v>
          </cell>
          <cell r="AW1275">
            <v>0</v>
          </cell>
          <cell r="AX1275">
            <v>0</v>
          </cell>
          <cell r="AY1275">
            <v>0</v>
          </cell>
          <cell r="AZ1275">
            <v>0</v>
          </cell>
          <cell r="BA1275">
            <v>0</v>
          </cell>
          <cell r="BD1275" t="str">
            <v/>
          </cell>
          <cell r="BE1275">
            <v>1</v>
          </cell>
          <cell r="BG1275" t="str">
            <v>1100</v>
          </cell>
        </row>
        <row r="1276">
          <cell r="B1276" t="str">
            <v>G232300106100200</v>
          </cell>
          <cell r="C1276" t="str">
            <v>23.愛知県</v>
          </cell>
          <cell r="D1276" t="str">
            <v>230</v>
          </cell>
          <cell r="E1276" t="str">
            <v>日進市</v>
          </cell>
          <cell r="F1276" t="str">
            <v>01</v>
          </cell>
          <cell r="G1276" t="str">
            <v>公共 単独</v>
          </cell>
          <cell r="H1276" t="str">
            <v>公共下水道</v>
          </cell>
          <cell r="I1276" t="str">
            <v>単独</v>
          </cell>
          <cell r="J1276" t="str">
            <v>002</v>
          </cell>
          <cell r="K1276" t="str">
            <v>南部浄化センター</v>
          </cell>
          <cell r="M1276" t="str">
            <v>1</v>
          </cell>
          <cell r="N1276" t="str">
            <v>1</v>
          </cell>
          <cell r="Q1276">
            <v>38078</v>
          </cell>
          <cell r="R1276" t="str">
            <v>平成</v>
          </cell>
          <cell r="S1276">
            <v>16</v>
          </cell>
          <cell r="T1276">
            <v>4</v>
          </cell>
          <cell r="AB1276">
            <v>21000</v>
          </cell>
          <cell r="AC1276" t="str">
            <v>天白川</v>
          </cell>
          <cell r="AD1276" t="str">
            <v>Ｃ</v>
          </cell>
          <cell r="AE1276" t="str">
            <v>イ</v>
          </cell>
          <cell r="AI1276" t="str">
            <v>豊田川</v>
          </cell>
          <cell r="AJ1276" t="str">
            <v>天白川</v>
          </cell>
          <cell r="AQ1276" t="str">
            <v/>
          </cell>
          <cell r="AR1276" t="str">
            <v>嫌気無酸素好気法</v>
          </cell>
          <cell r="AS1276" t="str">
            <v>2323001002</v>
          </cell>
          <cell r="AT1276" t="str">
            <v/>
          </cell>
          <cell r="AU1276" t="str">
            <v>10</v>
          </cell>
          <cell r="AV1276" t="str">
            <v>10</v>
          </cell>
          <cell r="AW1276">
            <v>0</v>
          </cell>
          <cell r="AX1276">
            <v>0</v>
          </cell>
          <cell r="AY1276">
            <v>0</v>
          </cell>
          <cell r="AZ1276">
            <v>0</v>
          </cell>
          <cell r="BA1276">
            <v>0</v>
          </cell>
          <cell r="BD1276" t="str">
            <v/>
          </cell>
          <cell r="BE1276">
            <v>1</v>
          </cell>
          <cell r="BG1276" t="str">
            <v>1100</v>
          </cell>
        </row>
        <row r="1277">
          <cell r="B1277" t="str">
            <v>G232310106100100</v>
          </cell>
          <cell r="C1277" t="str">
            <v>23.愛知県</v>
          </cell>
          <cell r="D1277" t="str">
            <v>231</v>
          </cell>
          <cell r="E1277" t="str">
            <v>田原市</v>
          </cell>
          <cell r="F1277" t="str">
            <v>01</v>
          </cell>
          <cell r="G1277" t="str">
            <v>公共 単独</v>
          </cell>
          <cell r="H1277" t="str">
            <v>公共下水道</v>
          </cell>
          <cell r="I1277" t="str">
            <v>単独</v>
          </cell>
          <cell r="J1277" t="str">
            <v>001</v>
          </cell>
          <cell r="K1277" t="str">
            <v>田原浄化センター</v>
          </cell>
          <cell r="M1277" t="str">
            <v>1</v>
          </cell>
          <cell r="N1277" t="str">
            <v>1</v>
          </cell>
          <cell r="P1277" t="str">
            <v>1</v>
          </cell>
          <cell r="Q1277">
            <v>33329</v>
          </cell>
          <cell r="R1277" t="str">
            <v>平成</v>
          </cell>
          <cell r="S1277">
            <v>3</v>
          </cell>
          <cell r="T1277">
            <v>4</v>
          </cell>
          <cell r="AB1277">
            <v>34821</v>
          </cell>
          <cell r="AC1277" t="str">
            <v>三河湾</v>
          </cell>
          <cell r="AD1277" t="str">
            <v>Ａ</v>
          </cell>
          <cell r="AE1277" t="str">
            <v>ロ</v>
          </cell>
          <cell r="AF1277">
            <v>15</v>
          </cell>
          <cell r="AG1277">
            <v>10</v>
          </cell>
          <cell r="AH1277">
            <v>1</v>
          </cell>
          <cell r="AI1277" t="str">
            <v>ヒロ藻川</v>
          </cell>
          <cell r="AQ1277" t="str">
            <v/>
          </cell>
          <cell r="AR1277" t="str">
            <v>その他処理方法</v>
          </cell>
          <cell r="AS1277" t="str">
            <v>2323101001</v>
          </cell>
          <cell r="AT1277" t="str">
            <v/>
          </cell>
          <cell r="AU1277" t="str">
            <v>10</v>
          </cell>
          <cell r="AV1277" t="str">
            <v>10</v>
          </cell>
          <cell r="AW1277">
            <v>1</v>
          </cell>
          <cell r="AX1277">
            <v>0</v>
          </cell>
          <cell r="AY1277">
            <v>0</v>
          </cell>
          <cell r="AZ1277">
            <v>0</v>
          </cell>
          <cell r="BA1277">
            <v>0</v>
          </cell>
          <cell r="BD1277" t="str">
            <v/>
          </cell>
          <cell r="BE1277">
            <v>1</v>
          </cell>
          <cell r="BG1277" t="str">
            <v>1101</v>
          </cell>
        </row>
        <row r="1278">
          <cell r="B1278" t="str">
            <v>G232310106100200</v>
          </cell>
          <cell r="C1278" t="str">
            <v>23.愛知県</v>
          </cell>
          <cell r="D1278" t="str">
            <v>231</v>
          </cell>
          <cell r="E1278" t="str">
            <v>田原市</v>
          </cell>
          <cell r="F1278" t="str">
            <v>01</v>
          </cell>
          <cell r="G1278" t="str">
            <v>公共 単独</v>
          </cell>
          <cell r="H1278" t="str">
            <v>公共下水道</v>
          </cell>
          <cell r="I1278" t="str">
            <v>単独</v>
          </cell>
          <cell r="J1278" t="str">
            <v>002</v>
          </cell>
          <cell r="K1278" t="str">
            <v>赤羽根浄化センター</v>
          </cell>
          <cell r="M1278" t="str">
            <v>1</v>
          </cell>
          <cell r="N1278" t="str">
            <v>1</v>
          </cell>
          <cell r="Q1278">
            <v>37712</v>
          </cell>
          <cell r="R1278" t="str">
            <v>平成</v>
          </cell>
          <cell r="S1278">
            <v>15</v>
          </cell>
          <cell r="T1278">
            <v>4</v>
          </cell>
          <cell r="AB1278">
            <v>9355</v>
          </cell>
          <cell r="AF1278">
            <v>15</v>
          </cell>
          <cell r="AI1278" t="str">
            <v>浜田２号排水路</v>
          </cell>
          <cell r="AQ1278" t="str">
            <v/>
          </cell>
          <cell r="AR1278" t="str">
            <v>オキシディションディッチ法</v>
          </cell>
          <cell r="AS1278" t="str">
            <v>2323101002</v>
          </cell>
          <cell r="AT1278" t="str">
            <v/>
          </cell>
          <cell r="AU1278" t="str">
            <v>10</v>
          </cell>
          <cell r="AV1278" t="str">
            <v>10</v>
          </cell>
          <cell r="AW1278">
            <v>0</v>
          </cell>
          <cell r="AX1278">
            <v>0</v>
          </cell>
          <cell r="AY1278">
            <v>0</v>
          </cell>
          <cell r="AZ1278">
            <v>0</v>
          </cell>
          <cell r="BA1278">
            <v>0</v>
          </cell>
          <cell r="BD1278" t="str">
            <v/>
          </cell>
          <cell r="BE1278">
            <v>1</v>
          </cell>
          <cell r="BG1278" t="str">
            <v>1100</v>
          </cell>
        </row>
        <row r="1279">
          <cell r="B1279" t="str">
            <v>G232310106100300</v>
          </cell>
          <cell r="C1279" t="str">
            <v>23.愛知県</v>
          </cell>
          <cell r="D1279" t="str">
            <v>231</v>
          </cell>
          <cell r="E1279" t="str">
            <v>田原市</v>
          </cell>
          <cell r="F1279" t="str">
            <v>01</v>
          </cell>
          <cell r="G1279" t="str">
            <v>公共 単独</v>
          </cell>
          <cell r="H1279" t="str">
            <v>公共下水道</v>
          </cell>
          <cell r="I1279" t="str">
            <v>単独</v>
          </cell>
          <cell r="J1279" t="str">
            <v>003</v>
          </cell>
          <cell r="K1279" t="str">
            <v>渥美浄化センター</v>
          </cell>
          <cell r="M1279" t="str">
            <v>1</v>
          </cell>
          <cell r="N1279" t="str">
            <v>1</v>
          </cell>
          <cell r="Q1279">
            <v>37712</v>
          </cell>
          <cell r="R1279" t="str">
            <v>平成</v>
          </cell>
          <cell r="S1279">
            <v>15</v>
          </cell>
          <cell r="T1279">
            <v>4</v>
          </cell>
          <cell r="AB1279">
            <v>15703</v>
          </cell>
          <cell r="AF1279">
            <v>15</v>
          </cell>
          <cell r="AG1279">
            <v>15</v>
          </cell>
          <cell r="AH1279">
            <v>1</v>
          </cell>
          <cell r="AI1279" t="str">
            <v>高木排水路</v>
          </cell>
          <cell r="AQ1279" t="str">
            <v/>
          </cell>
          <cell r="AR1279" t="str">
            <v>オキシディションディッチ法</v>
          </cell>
          <cell r="AS1279" t="str">
            <v>2323101003</v>
          </cell>
          <cell r="AT1279" t="str">
            <v/>
          </cell>
          <cell r="AU1279" t="str">
            <v>10</v>
          </cell>
          <cell r="AV1279" t="str">
            <v>10</v>
          </cell>
          <cell r="AW1279">
            <v>0</v>
          </cell>
          <cell r="AX1279">
            <v>0</v>
          </cell>
          <cell r="AY1279">
            <v>0</v>
          </cell>
          <cell r="AZ1279">
            <v>0</v>
          </cell>
          <cell r="BA1279">
            <v>0</v>
          </cell>
          <cell r="BD1279" t="str">
            <v/>
          </cell>
          <cell r="BE1279">
            <v>1</v>
          </cell>
          <cell r="BG1279" t="str">
            <v>1100</v>
          </cell>
        </row>
        <row r="1280">
          <cell r="B1280" t="str">
            <v>G232380106100100</v>
          </cell>
          <cell r="C1280" t="str">
            <v>23.愛知県</v>
          </cell>
          <cell r="D1280" t="str">
            <v>238</v>
          </cell>
          <cell r="E1280" t="str">
            <v>長久手市</v>
          </cell>
          <cell r="F1280" t="str">
            <v>01</v>
          </cell>
          <cell r="G1280" t="str">
            <v>公共 単独</v>
          </cell>
          <cell r="H1280" t="str">
            <v>公共下水道</v>
          </cell>
          <cell r="I1280" t="str">
            <v>単独</v>
          </cell>
          <cell r="J1280" t="str">
            <v>001</v>
          </cell>
          <cell r="K1280" t="str">
            <v>長久手浄化センター</v>
          </cell>
          <cell r="M1280" t="str">
            <v>1</v>
          </cell>
          <cell r="N1280" t="str">
            <v>1</v>
          </cell>
          <cell r="P1280" t="str">
            <v>1</v>
          </cell>
          <cell r="Q1280">
            <v>35339</v>
          </cell>
          <cell r="R1280" t="str">
            <v>平成</v>
          </cell>
          <cell r="S1280">
            <v>8</v>
          </cell>
          <cell r="T1280">
            <v>10</v>
          </cell>
          <cell r="AB1280">
            <v>12552</v>
          </cell>
          <cell r="AF1280">
            <v>15</v>
          </cell>
          <cell r="AG1280">
            <v>20</v>
          </cell>
          <cell r="AH1280">
            <v>2</v>
          </cell>
          <cell r="AK1280" t="str">
            <v>香流川</v>
          </cell>
          <cell r="AQ1280" t="str">
            <v/>
          </cell>
          <cell r="AR1280" t="str">
            <v>標準活性汚泥法</v>
          </cell>
          <cell r="AS1280" t="str">
            <v>2323801001</v>
          </cell>
          <cell r="AT1280" t="str">
            <v/>
          </cell>
          <cell r="AU1280" t="str">
            <v>10</v>
          </cell>
          <cell r="AV1280" t="str">
            <v>10</v>
          </cell>
          <cell r="AW1280">
            <v>1</v>
          </cell>
          <cell r="AX1280">
            <v>0</v>
          </cell>
          <cell r="AY1280">
            <v>0</v>
          </cell>
          <cell r="AZ1280">
            <v>0</v>
          </cell>
          <cell r="BA1280">
            <v>0</v>
          </cell>
          <cell r="BD1280" t="str">
            <v/>
          </cell>
          <cell r="BE1280">
            <v>1</v>
          </cell>
          <cell r="BG1280" t="str">
            <v>1101</v>
          </cell>
        </row>
        <row r="1281">
          <cell r="B1281" t="str">
            <v>G235620206100100</v>
          </cell>
          <cell r="C1281" t="str">
            <v>23.愛知県</v>
          </cell>
          <cell r="D1281" t="str">
            <v>562</v>
          </cell>
          <cell r="E1281" t="str">
            <v>東栄町</v>
          </cell>
          <cell r="F1281" t="str">
            <v>02</v>
          </cell>
          <cell r="G1281" t="str">
            <v>特環 単独</v>
          </cell>
          <cell r="H1281" t="str">
            <v>特定環境保全公共下水道</v>
          </cell>
          <cell r="I1281" t="str">
            <v>単独</v>
          </cell>
          <cell r="J1281" t="str">
            <v>001</v>
          </cell>
          <cell r="K1281" t="str">
            <v>東栄浄化センター</v>
          </cell>
          <cell r="M1281" t="str">
            <v>1</v>
          </cell>
          <cell r="N1281" t="str">
            <v>1</v>
          </cell>
          <cell r="P1281" t="str">
            <v>1</v>
          </cell>
          <cell r="Q1281">
            <v>36616</v>
          </cell>
          <cell r="R1281" t="str">
            <v>平成</v>
          </cell>
          <cell r="S1281">
            <v>12</v>
          </cell>
          <cell r="T1281">
            <v>3</v>
          </cell>
          <cell r="AB1281">
            <v>8090</v>
          </cell>
          <cell r="AC1281" t="str">
            <v>天竜川</v>
          </cell>
          <cell r="AD1281" t="str">
            <v>ＡＡ</v>
          </cell>
          <cell r="AK1281" t="str">
            <v>大千瀬川</v>
          </cell>
          <cell r="AL1281" t="str">
            <v>船明ダム</v>
          </cell>
          <cell r="AN1281">
            <v>41</v>
          </cell>
          <cell r="AO1281" t="str">
            <v>浜松市</v>
          </cell>
          <cell r="AQ1281" t="str">
            <v/>
          </cell>
          <cell r="AR1281" t="str">
            <v>オキシディションディッチ法</v>
          </cell>
          <cell r="AS1281" t="str">
            <v>2356202001</v>
          </cell>
          <cell r="AT1281" t="str">
            <v/>
          </cell>
          <cell r="AU1281" t="str">
            <v>10</v>
          </cell>
          <cell r="AV1281" t="str">
            <v>10</v>
          </cell>
          <cell r="AW1281">
            <v>1</v>
          </cell>
          <cell r="AX1281">
            <v>0</v>
          </cell>
          <cell r="AY1281">
            <v>0</v>
          </cell>
          <cell r="AZ1281">
            <v>0</v>
          </cell>
          <cell r="BA1281">
            <v>0</v>
          </cell>
          <cell r="BD1281" t="str">
            <v/>
          </cell>
          <cell r="BE1281">
            <v>1</v>
          </cell>
          <cell r="BG1281" t="str">
            <v>1101</v>
          </cell>
        </row>
        <row r="1282">
          <cell r="B1282" t="str">
            <v>G240018106100100</v>
          </cell>
          <cell r="C1282" t="str">
            <v>24.三重県</v>
          </cell>
          <cell r="D1282" t="str">
            <v>001</v>
          </cell>
          <cell r="E1282" t="str">
            <v>北勢沿岸流域</v>
          </cell>
          <cell r="F1282" t="str">
            <v>81</v>
          </cell>
          <cell r="G1282" t="str">
            <v>流域</v>
          </cell>
          <cell r="H1282" t="str">
            <v>流域下水道</v>
          </cell>
          <cell r="I1282" t="str">
            <v/>
          </cell>
          <cell r="J1282" t="str">
            <v>001</v>
          </cell>
          <cell r="K1282" t="str">
            <v>北部浄化センター</v>
          </cell>
          <cell r="M1282" t="str">
            <v>1</v>
          </cell>
          <cell r="N1282" t="str">
            <v>1</v>
          </cell>
          <cell r="Q1282">
            <v>32143</v>
          </cell>
          <cell r="R1282" t="str">
            <v>昭和</v>
          </cell>
          <cell r="S1282">
            <v>63</v>
          </cell>
          <cell r="T1282">
            <v>1</v>
          </cell>
          <cell r="AB1282">
            <v>378900</v>
          </cell>
          <cell r="AC1282" t="str">
            <v>四日市港</v>
          </cell>
          <cell r="AD1282" t="str">
            <v>Ｃ</v>
          </cell>
          <cell r="AE1282" t="str">
            <v>イ</v>
          </cell>
          <cell r="AF1282">
            <v>15</v>
          </cell>
          <cell r="AG1282">
            <v>13</v>
          </cell>
          <cell r="AH1282">
            <v>1.4</v>
          </cell>
          <cell r="AI1282" t="str">
            <v>伊勢湾</v>
          </cell>
          <cell r="AQ1282" t="str">
            <v/>
          </cell>
          <cell r="AR1282" t="str">
            <v>嫌気無酸素好気法</v>
          </cell>
          <cell r="AS1282" t="str">
            <v>2400181001</v>
          </cell>
          <cell r="AT1282" t="str">
            <v/>
          </cell>
          <cell r="AU1282" t="str">
            <v>10</v>
          </cell>
          <cell r="AV1282" t="str">
            <v>10</v>
          </cell>
          <cell r="AW1282">
            <v>0</v>
          </cell>
          <cell r="AX1282">
            <v>0</v>
          </cell>
          <cell r="AY1282">
            <v>0</v>
          </cell>
          <cell r="AZ1282">
            <v>0</v>
          </cell>
          <cell r="BA1282">
            <v>0</v>
          </cell>
          <cell r="BD1282" t="str">
            <v/>
          </cell>
          <cell r="BE1282">
            <v>1</v>
          </cell>
          <cell r="BG1282" t="str">
            <v>1100</v>
          </cell>
        </row>
        <row r="1283">
          <cell r="B1283" t="str">
            <v>G240018106100200</v>
          </cell>
          <cell r="C1283" t="str">
            <v>24.三重県</v>
          </cell>
          <cell r="D1283" t="str">
            <v>001</v>
          </cell>
          <cell r="E1283" t="str">
            <v>北勢沿岸流域</v>
          </cell>
          <cell r="F1283" t="str">
            <v>81</v>
          </cell>
          <cell r="G1283" t="str">
            <v>流域</v>
          </cell>
          <cell r="H1283" t="str">
            <v>流域下水道</v>
          </cell>
          <cell r="I1283" t="str">
            <v/>
          </cell>
          <cell r="J1283" t="str">
            <v>002</v>
          </cell>
          <cell r="K1283" t="str">
            <v>南部浄化センター</v>
          </cell>
          <cell r="M1283" t="str">
            <v>1</v>
          </cell>
          <cell r="N1283" t="str">
            <v>1</v>
          </cell>
          <cell r="Q1283">
            <v>35065</v>
          </cell>
          <cell r="R1283" t="str">
            <v>平成</v>
          </cell>
          <cell r="S1283">
            <v>8</v>
          </cell>
          <cell r="T1283">
            <v>1</v>
          </cell>
          <cell r="AB1283">
            <v>196700</v>
          </cell>
          <cell r="AC1283" t="str">
            <v>四日市、鈴鹿地先海域</v>
          </cell>
          <cell r="AD1283" t="str">
            <v>Ｂ</v>
          </cell>
          <cell r="AE1283" t="str">
            <v>イ</v>
          </cell>
          <cell r="AF1283">
            <v>10</v>
          </cell>
          <cell r="AG1283">
            <v>11</v>
          </cell>
          <cell r="AH1283">
            <v>2.2000000000000002</v>
          </cell>
          <cell r="AI1283" t="str">
            <v>鈴鹿川派川</v>
          </cell>
          <cell r="AK1283" t="str">
            <v>鈴鹿川</v>
          </cell>
          <cell r="AQ1283" t="str">
            <v/>
          </cell>
          <cell r="AR1283" t="str">
            <v>嫌気無酸素好気法</v>
          </cell>
          <cell r="AS1283" t="str">
            <v>2400181002</v>
          </cell>
          <cell r="AT1283" t="str">
            <v/>
          </cell>
          <cell r="AU1283" t="str">
            <v>10</v>
          </cell>
          <cell r="AV1283" t="str">
            <v>10</v>
          </cell>
          <cell r="AW1283">
            <v>0</v>
          </cell>
          <cell r="AX1283">
            <v>0</v>
          </cell>
          <cell r="AY1283">
            <v>0</v>
          </cell>
          <cell r="AZ1283">
            <v>0</v>
          </cell>
          <cell r="BA1283">
            <v>0</v>
          </cell>
          <cell r="BD1283" t="str">
            <v/>
          </cell>
          <cell r="BE1283">
            <v>1</v>
          </cell>
          <cell r="BG1283" t="str">
            <v>1100</v>
          </cell>
        </row>
        <row r="1284">
          <cell r="B1284" t="str">
            <v>G240028106100100</v>
          </cell>
          <cell r="C1284" t="str">
            <v>24.三重県</v>
          </cell>
          <cell r="D1284" t="str">
            <v>002</v>
          </cell>
          <cell r="E1284" t="str">
            <v>中勢沿岸流域</v>
          </cell>
          <cell r="F1284" t="str">
            <v>81</v>
          </cell>
          <cell r="G1284" t="str">
            <v>流域</v>
          </cell>
          <cell r="H1284" t="str">
            <v>流域下水道</v>
          </cell>
          <cell r="I1284" t="str">
            <v/>
          </cell>
          <cell r="J1284" t="str">
            <v>001</v>
          </cell>
          <cell r="K1284" t="str">
            <v>雲出川左岸浄化センター</v>
          </cell>
          <cell r="M1284" t="str">
            <v>1</v>
          </cell>
          <cell r="N1284" t="str">
            <v>1</v>
          </cell>
          <cell r="Q1284">
            <v>34060</v>
          </cell>
          <cell r="R1284" t="str">
            <v>平成</v>
          </cell>
          <cell r="S1284">
            <v>5</v>
          </cell>
          <cell r="T1284">
            <v>4</v>
          </cell>
          <cell r="AB1284">
            <v>190500</v>
          </cell>
          <cell r="AC1284" t="str">
            <v>津・松阪地先海域</v>
          </cell>
          <cell r="AD1284" t="str">
            <v>Ｂ</v>
          </cell>
          <cell r="AE1284" t="str">
            <v>イ</v>
          </cell>
          <cell r="AF1284">
            <v>15</v>
          </cell>
          <cell r="AG1284">
            <v>18</v>
          </cell>
          <cell r="AH1284">
            <v>1.6</v>
          </cell>
          <cell r="AI1284" t="str">
            <v>伊勢湾</v>
          </cell>
          <cell r="AQ1284" t="str">
            <v/>
          </cell>
          <cell r="AR1284" t="str">
            <v>嫌気無酸素好気法</v>
          </cell>
          <cell r="AS1284" t="str">
            <v>2400281001</v>
          </cell>
          <cell r="AT1284" t="str">
            <v/>
          </cell>
          <cell r="AU1284" t="str">
            <v>10</v>
          </cell>
          <cell r="AV1284" t="str">
            <v>10</v>
          </cell>
          <cell r="AW1284">
            <v>0</v>
          </cell>
          <cell r="AX1284">
            <v>0</v>
          </cell>
          <cell r="AY1284">
            <v>0</v>
          </cell>
          <cell r="AZ1284">
            <v>0</v>
          </cell>
          <cell r="BA1284">
            <v>0</v>
          </cell>
          <cell r="BD1284" t="str">
            <v/>
          </cell>
          <cell r="BE1284">
            <v>1</v>
          </cell>
          <cell r="BG1284" t="str">
            <v>1100</v>
          </cell>
        </row>
        <row r="1285">
          <cell r="B1285" t="str">
            <v>G240028106100200</v>
          </cell>
          <cell r="C1285" t="str">
            <v>24.三重県</v>
          </cell>
          <cell r="D1285" t="str">
            <v>002</v>
          </cell>
          <cell r="E1285" t="str">
            <v>中勢沿岸流域</v>
          </cell>
          <cell r="F1285" t="str">
            <v>81</v>
          </cell>
          <cell r="G1285" t="str">
            <v>流域</v>
          </cell>
          <cell r="H1285" t="str">
            <v>流域下水道</v>
          </cell>
          <cell r="I1285" t="str">
            <v/>
          </cell>
          <cell r="J1285" t="str">
            <v>002</v>
          </cell>
          <cell r="K1285" t="str">
            <v>松阪浄化センター</v>
          </cell>
          <cell r="M1285" t="str">
            <v>1</v>
          </cell>
          <cell r="N1285" t="str">
            <v>1</v>
          </cell>
          <cell r="P1285" t="str">
            <v>1</v>
          </cell>
          <cell r="Q1285">
            <v>35886</v>
          </cell>
          <cell r="R1285" t="str">
            <v>平成</v>
          </cell>
          <cell r="S1285">
            <v>10</v>
          </cell>
          <cell r="T1285">
            <v>4</v>
          </cell>
          <cell r="AB1285">
            <v>20950</v>
          </cell>
          <cell r="AC1285" t="str">
            <v>津・松阪地先海域</v>
          </cell>
          <cell r="AD1285" t="str">
            <v>Ｂ</v>
          </cell>
          <cell r="AE1285" t="str">
            <v>イ</v>
          </cell>
          <cell r="AF1285">
            <v>15</v>
          </cell>
          <cell r="AG1285">
            <v>10</v>
          </cell>
          <cell r="AH1285">
            <v>1</v>
          </cell>
          <cell r="AI1285" t="str">
            <v>伊勢湾</v>
          </cell>
          <cell r="AQ1285" t="str">
            <v/>
          </cell>
          <cell r="AR1285" t="str">
            <v>嫌気無酸素好気法</v>
          </cell>
          <cell r="AS1285" t="str">
            <v>2400281002</v>
          </cell>
          <cell r="AT1285" t="str">
            <v/>
          </cell>
          <cell r="AU1285" t="str">
            <v>10</v>
          </cell>
          <cell r="AV1285" t="str">
            <v>10</v>
          </cell>
          <cell r="AW1285">
            <v>1</v>
          </cell>
          <cell r="AX1285">
            <v>0</v>
          </cell>
          <cell r="AY1285">
            <v>0</v>
          </cell>
          <cell r="AZ1285">
            <v>0</v>
          </cell>
          <cell r="BA1285">
            <v>0</v>
          </cell>
          <cell r="BD1285" t="str">
            <v/>
          </cell>
          <cell r="BE1285">
            <v>1</v>
          </cell>
          <cell r="BG1285" t="str">
            <v>1101</v>
          </cell>
        </row>
        <row r="1286">
          <cell r="B1286" t="str">
            <v>G240038106100100</v>
          </cell>
          <cell r="C1286" t="str">
            <v>24.三重県</v>
          </cell>
          <cell r="D1286" t="str">
            <v>003</v>
          </cell>
          <cell r="E1286" t="str">
            <v>宮川流域</v>
          </cell>
          <cell r="F1286" t="str">
            <v>81</v>
          </cell>
          <cell r="G1286" t="str">
            <v>流域</v>
          </cell>
          <cell r="H1286" t="str">
            <v>流域下水道</v>
          </cell>
          <cell r="I1286" t="str">
            <v/>
          </cell>
          <cell r="J1286" t="str">
            <v>001</v>
          </cell>
          <cell r="K1286" t="str">
            <v>宮川浄化センター</v>
          </cell>
          <cell r="M1286" t="str">
            <v>1</v>
          </cell>
          <cell r="N1286" t="str">
            <v>1</v>
          </cell>
          <cell r="Q1286">
            <v>38869</v>
          </cell>
          <cell r="R1286" t="str">
            <v>平成</v>
          </cell>
          <cell r="S1286">
            <v>18</v>
          </cell>
          <cell r="T1286">
            <v>6</v>
          </cell>
          <cell r="AB1286">
            <v>192700</v>
          </cell>
          <cell r="AC1286" t="str">
            <v>五十鈴川下流</v>
          </cell>
          <cell r="AD1286" t="str">
            <v>Ａ</v>
          </cell>
          <cell r="AE1286" t="str">
            <v>イ</v>
          </cell>
          <cell r="AF1286">
            <v>15</v>
          </cell>
          <cell r="AG1286">
            <v>10</v>
          </cell>
          <cell r="AH1286">
            <v>1</v>
          </cell>
          <cell r="AK1286" t="str">
            <v>五十鈴川</v>
          </cell>
          <cell r="AQ1286" t="str">
            <v/>
          </cell>
          <cell r="AR1286" t="str">
            <v>嫌気無酸素好気法</v>
          </cell>
          <cell r="AS1286" t="str">
            <v>2400381001</v>
          </cell>
          <cell r="AT1286" t="str">
            <v/>
          </cell>
          <cell r="AU1286" t="str">
            <v>10</v>
          </cell>
          <cell r="AV1286" t="str">
            <v>10</v>
          </cell>
          <cell r="AW1286">
            <v>0</v>
          </cell>
          <cell r="AX1286">
            <v>0</v>
          </cell>
          <cell r="AY1286">
            <v>0</v>
          </cell>
          <cell r="AZ1286">
            <v>0</v>
          </cell>
          <cell r="BA1286">
            <v>0</v>
          </cell>
          <cell r="BD1286" t="str">
            <v/>
          </cell>
          <cell r="BE1286">
            <v>1</v>
          </cell>
          <cell r="BG1286" t="str">
            <v>1100</v>
          </cell>
        </row>
        <row r="1287">
          <cell r="B1287" t="str">
            <v>G242010106100100</v>
          </cell>
          <cell r="C1287" t="str">
            <v>24.三重県</v>
          </cell>
          <cell r="D1287" t="str">
            <v>201</v>
          </cell>
          <cell r="E1287" t="str">
            <v>津市</v>
          </cell>
          <cell r="F1287" t="str">
            <v>01</v>
          </cell>
          <cell r="G1287" t="str">
            <v>公共 単独</v>
          </cell>
          <cell r="H1287" t="str">
            <v>公共下水道</v>
          </cell>
          <cell r="I1287" t="str">
            <v>単独</v>
          </cell>
          <cell r="J1287" t="str">
            <v>001</v>
          </cell>
          <cell r="K1287" t="str">
            <v>津市中央浄化センター</v>
          </cell>
          <cell r="M1287" t="str">
            <v>1</v>
          </cell>
          <cell r="N1287" t="str">
            <v>1</v>
          </cell>
          <cell r="O1287" t="str">
            <v>1</v>
          </cell>
          <cell r="Q1287">
            <v>28216</v>
          </cell>
          <cell r="R1287" t="str">
            <v>昭和</v>
          </cell>
          <cell r="S1287">
            <v>52</v>
          </cell>
          <cell r="T1287">
            <v>4</v>
          </cell>
          <cell r="AB1287">
            <v>47844</v>
          </cell>
          <cell r="AC1287" t="str">
            <v>安濃川（全域）</v>
          </cell>
          <cell r="AD1287" t="str">
            <v>Ａ</v>
          </cell>
          <cell r="AE1287" t="str">
            <v>イ</v>
          </cell>
          <cell r="AF1287">
            <v>15</v>
          </cell>
          <cell r="AG1287">
            <v>20</v>
          </cell>
          <cell r="AH1287">
            <v>3</v>
          </cell>
          <cell r="AI1287" t="str">
            <v>伊勢湾</v>
          </cell>
          <cell r="AJ1287" t="str">
            <v>安濃川</v>
          </cell>
          <cell r="AQ1287" t="str">
            <v/>
          </cell>
          <cell r="AR1287" t="str">
            <v>標準活性汚泥法</v>
          </cell>
          <cell r="AS1287" t="str">
            <v>2420101001</v>
          </cell>
          <cell r="AT1287" t="str">
            <v/>
          </cell>
          <cell r="AU1287" t="str">
            <v>11</v>
          </cell>
          <cell r="AV1287" t="str">
            <v>11</v>
          </cell>
          <cell r="AW1287">
            <v>0</v>
          </cell>
          <cell r="AX1287">
            <v>0</v>
          </cell>
          <cell r="AY1287">
            <v>0</v>
          </cell>
          <cell r="AZ1287">
            <v>0</v>
          </cell>
          <cell r="BA1287">
            <v>0</v>
          </cell>
          <cell r="BD1287" t="str">
            <v/>
          </cell>
          <cell r="BE1287">
            <v>1</v>
          </cell>
          <cell r="BG1287" t="str">
            <v>1110</v>
          </cell>
        </row>
        <row r="1288">
          <cell r="B1288" t="str">
            <v>G242010106100200</v>
          </cell>
          <cell r="C1288" t="str">
            <v>24.三重県</v>
          </cell>
          <cell r="D1288" t="str">
            <v>201</v>
          </cell>
          <cell r="E1288" t="str">
            <v>津市</v>
          </cell>
          <cell r="F1288" t="str">
            <v>01</v>
          </cell>
          <cell r="G1288" t="str">
            <v>公共 単独</v>
          </cell>
          <cell r="H1288" t="str">
            <v>公共下水道</v>
          </cell>
          <cell r="I1288" t="str">
            <v>単独</v>
          </cell>
          <cell r="J1288" t="str">
            <v>002</v>
          </cell>
          <cell r="K1288" t="str">
            <v>津市椋本浄化センター</v>
          </cell>
          <cell r="M1288" t="str">
            <v>1</v>
          </cell>
          <cell r="N1288" t="str">
            <v>1</v>
          </cell>
          <cell r="Q1288">
            <v>39142</v>
          </cell>
          <cell r="R1288" t="str">
            <v>平成</v>
          </cell>
          <cell r="S1288">
            <v>19</v>
          </cell>
          <cell r="T1288">
            <v>3</v>
          </cell>
          <cell r="AB1288">
            <v>14100</v>
          </cell>
          <cell r="AC1288" t="str">
            <v>安濃川</v>
          </cell>
          <cell r="AD1288" t="str">
            <v>Ａ</v>
          </cell>
          <cell r="AE1288" t="str">
            <v>イ</v>
          </cell>
          <cell r="AF1288">
            <v>15</v>
          </cell>
          <cell r="AG1288">
            <v>10</v>
          </cell>
          <cell r="AH1288">
            <v>1</v>
          </cell>
          <cell r="AI1288" t="str">
            <v>伊勢湾</v>
          </cell>
          <cell r="AJ1288" t="str">
            <v>安濃川</v>
          </cell>
          <cell r="AQ1288" t="str">
            <v/>
          </cell>
          <cell r="AR1288" t="str">
            <v>オキシディションディッチ法</v>
          </cell>
          <cell r="AS1288" t="str">
            <v>2420101002</v>
          </cell>
          <cell r="AT1288" t="str">
            <v/>
          </cell>
          <cell r="AU1288" t="str">
            <v>10</v>
          </cell>
          <cell r="AV1288" t="str">
            <v>10</v>
          </cell>
          <cell r="AW1288">
            <v>0</v>
          </cell>
          <cell r="AX1288">
            <v>0</v>
          </cell>
          <cell r="AY1288">
            <v>0</v>
          </cell>
          <cell r="AZ1288">
            <v>0</v>
          </cell>
          <cell r="BA1288">
            <v>0</v>
          </cell>
          <cell r="BD1288" t="str">
            <v/>
          </cell>
          <cell r="BE1288">
            <v>1</v>
          </cell>
          <cell r="BG1288" t="str">
            <v>1100</v>
          </cell>
        </row>
        <row r="1289">
          <cell r="B1289" t="str">
            <v>G242010106100300</v>
          </cell>
          <cell r="C1289" t="str">
            <v>24.三重県</v>
          </cell>
          <cell r="D1289" t="str">
            <v>201</v>
          </cell>
          <cell r="E1289" t="str">
            <v>津市</v>
          </cell>
          <cell r="F1289" t="str">
            <v>01</v>
          </cell>
          <cell r="G1289" t="str">
            <v>公共 単独</v>
          </cell>
          <cell r="H1289" t="str">
            <v>公共下水道</v>
          </cell>
          <cell r="I1289" t="str">
            <v>単独</v>
          </cell>
          <cell r="J1289" t="str">
            <v>003</v>
          </cell>
          <cell r="K1289" t="str">
            <v>津市千里ヶ丘浄化センター</v>
          </cell>
          <cell r="M1289" t="str">
            <v>1</v>
          </cell>
          <cell r="N1289" t="str">
            <v>1</v>
          </cell>
          <cell r="Q1289">
            <v>24442</v>
          </cell>
          <cell r="R1289" t="str">
            <v>昭和</v>
          </cell>
          <cell r="S1289">
            <v>41</v>
          </cell>
          <cell r="T1289">
            <v>12</v>
          </cell>
          <cell r="AB1289">
            <v>5080</v>
          </cell>
          <cell r="AC1289" t="str">
            <v>伊勢湾</v>
          </cell>
          <cell r="AD1289" t="str">
            <v>Ａ</v>
          </cell>
          <cell r="AE1289" t="str">
            <v>イ</v>
          </cell>
          <cell r="AF1289">
            <v>15</v>
          </cell>
          <cell r="AI1289" t="str">
            <v>伊勢湾</v>
          </cell>
          <cell r="AJ1289" t="str">
            <v>田中川</v>
          </cell>
          <cell r="AQ1289" t="str">
            <v/>
          </cell>
          <cell r="AR1289" t="str">
            <v>標準活性汚泥法</v>
          </cell>
          <cell r="AS1289" t="str">
            <v>2420101003</v>
          </cell>
          <cell r="AT1289" t="str">
            <v/>
          </cell>
          <cell r="AU1289" t="str">
            <v>10</v>
          </cell>
          <cell r="AV1289" t="str">
            <v>10</v>
          </cell>
          <cell r="AW1289">
            <v>0</v>
          </cell>
          <cell r="AX1289">
            <v>0</v>
          </cell>
          <cell r="AY1289">
            <v>0</v>
          </cell>
          <cell r="AZ1289">
            <v>0</v>
          </cell>
          <cell r="BA1289">
            <v>0</v>
          </cell>
          <cell r="BD1289" t="str">
            <v/>
          </cell>
          <cell r="BE1289">
            <v>1</v>
          </cell>
          <cell r="BG1289" t="str">
            <v>1100</v>
          </cell>
        </row>
        <row r="1290">
          <cell r="B1290" t="str">
            <v>G242010106100400</v>
          </cell>
          <cell r="C1290" t="str">
            <v>24.三重県</v>
          </cell>
          <cell r="D1290" t="str">
            <v>201</v>
          </cell>
          <cell r="E1290" t="str">
            <v>津市</v>
          </cell>
          <cell r="F1290" t="str">
            <v>01</v>
          </cell>
          <cell r="G1290" t="str">
            <v>公共 単独</v>
          </cell>
          <cell r="H1290" t="str">
            <v>公共下水道</v>
          </cell>
          <cell r="I1290" t="str">
            <v>単独</v>
          </cell>
          <cell r="J1290" t="str">
            <v>004</v>
          </cell>
          <cell r="K1290" t="str">
            <v>津市浜田浄化センター</v>
          </cell>
          <cell r="M1290" t="str">
            <v>1</v>
          </cell>
          <cell r="N1290" t="str">
            <v>1</v>
          </cell>
          <cell r="Q1290">
            <v>35217</v>
          </cell>
          <cell r="R1290" t="str">
            <v>平成</v>
          </cell>
          <cell r="S1290">
            <v>8</v>
          </cell>
          <cell r="T1290">
            <v>6</v>
          </cell>
          <cell r="AB1290">
            <v>1202</v>
          </cell>
          <cell r="AC1290" t="str">
            <v>志登茂川</v>
          </cell>
          <cell r="AD1290" t="str">
            <v>Ｃ</v>
          </cell>
          <cell r="AE1290" t="str">
            <v>ロ</v>
          </cell>
          <cell r="AF1290">
            <v>15</v>
          </cell>
          <cell r="AJ1290" t="str">
            <v>横川</v>
          </cell>
          <cell r="AK1290" t="str">
            <v>志登茂川</v>
          </cell>
          <cell r="AQ1290" t="str">
            <v/>
          </cell>
          <cell r="AR1290" t="str">
            <v>接触酸化法</v>
          </cell>
          <cell r="AS1290" t="str">
            <v>2420101004</v>
          </cell>
          <cell r="AT1290" t="str">
            <v/>
          </cell>
          <cell r="AU1290" t="str">
            <v>10</v>
          </cell>
          <cell r="AV1290" t="str">
            <v>10</v>
          </cell>
          <cell r="AW1290">
            <v>0</v>
          </cell>
          <cell r="AX1290">
            <v>0</v>
          </cell>
          <cell r="AY1290">
            <v>0</v>
          </cell>
          <cell r="AZ1290">
            <v>0</v>
          </cell>
          <cell r="BA1290">
            <v>0</v>
          </cell>
          <cell r="BD1290" t="str">
            <v/>
          </cell>
          <cell r="BE1290">
            <v>1</v>
          </cell>
          <cell r="BG1290" t="str">
            <v>1100</v>
          </cell>
        </row>
        <row r="1291">
          <cell r="B1291" t="str">
            <v>G242010206100500</v>
          </cell>
          <cell r="C1291" t="str">
            <v>24.三重県</v>
          </cell>
          <cell r="D1291" t="str">
            <v>201</v>
          </cell>
          <cell r="E1291" t="str">
            <v>津市</v>
          </cell>
          <cell r="F1291" t="str">
            <v>02</v>
          </cell>
          <cell r="G1291" t="str">
            <v>特環 単独</v>
          </cell>
          <cell r="H1291" t="str">
            <v>特定環境保全公共下水道</v>
          </cell>
          <cell r="I1291" t="str">
            <v>単独</v>
          </cell>
          <cell r="J1291" t="str">
            <v>005</v>
          </cell>
          <cell r="K1291" t="str">
            <v>津市雲林院浄化センター</v>
          </cell>
          <cell r="M1291" t="str">
            <v>1</v>
          </cell>
          <cell r="N1291" t="str">
            <v>1</v>
          </cell>
          <cell r="Q1291">
            <v>36892</v>
          </cell>
          <cell r="R1291" t="str">
            <v>平成</v>
          </cell>
          <cell r="S1291">
            <v>13</v>
          </cell>
          <cell r="T1291">
            <v>1</v>
          </cell>
          <cell r="AB1291">
            <v>2900</v>
          </cell>
          <cell r="AC1291" t="str">
            <v>安濃川</v>
          </cell>
          <cell r="AD1291" t="str">
            <v>Ａ</v>
          </cell>
          <cell r="AE1291" t="str">
            <v>イ</v>
          </cell>
          <cell r="AF1291">
            <v>15</v>
          </cell>
          <cell r="AG1291">
            <v>20</v>
          </cell>
          <cell r="AH1291">
            <v>1.8</v>
          </cell>
          <cell r="AJ1291" t="str">
            <v>安濃川</v>
          </cell>
          <cell r="AQ1291" t="str">
            <v/>
          </cell>
          <cell r="AR1291" t="str">
            <v>オキシディションディッチ法</v>
          </cell>
          <cell r="AS1291" t="str">
            <v>2420102005</v>
          </cell>
          <cell r="AT1291" t="str">
            <v/>
          </cell>
          <cell r="AU1291" t="str">
            <v>10</v>
          </cell>
          <cell r="AV1291" t="str">
            <v>10</v>
          </cell>
          <cell r="AW1291">
            <v>0</v>
          </cell>
          <cell r="AX1291">
            <v>0</v>
          </cell>
          <cell r="AY1291">
            <v>0</v>
          </cell>
          <cell r="AZ1291">
            <v>0</v>
          </cell>
          <cell r="BA1291">
            <v>0</v>
          </cell>
          <cell r="BD1291" t="str">
            <v/>
          </cell>
          <cell r="BE1291">
            <v>1</v>
          </cell>
          <cell r="BG1291" t="str">
            <v>1100</v>
          </cell>
        </row>
        <row r="1292">
          <cell r="B1292" t="str">
            <v>G242010206100600</v>
          </cell>
          <cell r="C1292" t="str">
            <v>24.三重県</v>
          </cell>
          <cell r="D1292" t="str">
            <v>201</v>
          </cell>
          <cell r="E1292" t="str">
            <v>津市</v>
          </cell>
          <cell r="F1292" t="str">
            <v>02</v>
          </cell>
          <cell r="G1292" t="str">
            <v>特環 単独</v>
          </cell>
          <cell r="H1292" t="str">
            <v>特定環境保全公共下水道</v>
          </cell>
          <cell r="I1292" t="str">
            <v>単独</v>
          </cell>
          <cell r="J1292" t="str">
            <v>006</v>
          </cell>
          <cell r="K1292" t="str">
            <v>津市高宮浄化センター</v>
          </cell>
          <cell r="M1292" t="str">
            <v>1</v>
          </cell>
          <cell r="N1292" t="str">
            <v>1</v>
          </cell>
          <cell r="Q1292">
            <v>37987</v>
          </cell>
          <cell r="R1292" t="str">
            <v>平成</v>
          </cell>
          <cell r="S1292">
            <v>16</v>
          </cell>
          <cell r="T1292">
            <v>1</v>
          </cell>
          <cell r="AB1292">
            <v>3014</v>
          </cell>
          <cell r="AC1292" t="str">
            <v>雲出川</v>
          </cell>
          <cell r="AD1292" t="str">
            <v>Ａ</v>
          </cell>
          <cell r="AE1292" t="str">
            <v>イ</v>
          </cell>
          <cell r="AF1292">
            <v>15</v>
          </cell>
          <cell r="AG1292">
            <v>20</v>
          </cell>
          <cell r="AH1292">
            <v>2.7</v>
          </cell>
          <cell r="AK1292" t="str">
            <v>長野川</v>
          </cell>
          <cell r="AQ1292" t="str">
            <v/>
          </cell>
          <cell r="AR1292" t="str">
            <v>オキシディションディッチ法</v>
          </cell>
          <cell r="AS1292" t="str">
            <v>2420102006</v>
          </cell>
          <cell r="AT1292" t="str">
            <v/>
          </cell>
          <cell r="AU1292" t="str">
            <v>10</v>
          </cell>
          <cell r="AV1292" t="str">
            <v>10</v>
          </cell>
          <cell r="AW1292">
            <v>0</v>
          </cell>
          <cell r="AX1292">
            <v>0</v>
          </cell>
          <cell r="AY1292">
            <v>0</v>
          </cell>
          <cell r="AZ1292">
            <v>0</v>
          </cell>
          <cell r="BA1292">
            <v>0</v>
          </cell>
          <cell r="BD1292" t="str">
            <v/>
          </cell>
          <cell r="BE1292">
            <v>1</v>
          </cell>
          <cell r="BG1292" t="str">
            <v>1100</v>
          </cell>
        </row>
        <row r="1293">
          <cell r="B1293" t="str">
            <v>G242020106100100</v>
          </cell>
          <cell r="C1293" t="str">
            <v>24.三重県</v>
          </cell>
          <cell r="D1293" t="str">
            <v>202</v>
          </cell>
          <cell r="E1293" t="str">
            <v>四日市市</v>
          </cell>
          <cell r="F1293" t="str">
            <v>01</v>
          </cell>
          <cell r="G1293" t="str">
            <v>公共 単独</v>
          </cell>
          <cell r="H1293" t="str">
            <v>公共下水道</v>
          </cell>
          <cell r="I1293" t="str">
            <v>単独</v>
          </cell>
          <cell r="J1293" t="str">
            <v>001</v>
          </cell>
          <cell r="K1293" t="str">
            <v>日永浄化センター</v>
          </cell>
          <cell r="M1293" t="str">
            <v>1</v>
          </cell>
          <cell r="N1293" t="str">
            <v>1</v>
          </cell>
          <cell r="Q1293">
            <v>23924</v>
          </cell>
          <cell r="R1293" t="str">
            <v>昭和</v>
          </cell>
          <cell r="S1293">
            <v>40</v>
          </cell>
          <cell r="T1293">
            <v>7</v>
          </cell>
          <cell r="AB1293">
            <v>53578</v>
          </cell>
          <cell r="AC1293" t="str">
            <v>四日市港（甲）</v>
          </cell>
          <cell r="AD1293" t="str">
            <v>Ｃ</v>
          </cell>
          <cell r="AE1293" t="str">
            <v>イ</v>
          </cell>
          <cell r="AF1293">
            <v>15</v>
          </cell>
          <cell r="AG1293">
            <v>10</v>
          </cell>
          <cell r="AJ1293" t="str">
            <v>鹿化川・天白川</v>
          </cell>
          <cell r="AQ1293" t="str">
            <v/>
          </cell>
          <cell r="AR1293" t="str">
            <v>標準活性汚泥法</v>
          </cell>
          <cell r="AS1293" t="str">
            <v>2420201001</v>
          </cell>
          <cell r="AT1293" t="str">
            <v/>
          </cell>
          <cell r="AU1293" t="str">
            <v>10</v>
          </cell>
          <cell r="AV1293" t="str">
            <v>10</v>
          </cell>
          <cell r="AW1293">
            <v>0</v>
          </cell>
          <cell r="AX1293">
            <v>0</v>
          </cell>
          <cell r="AY1293">
            <v>0</v>
          </cell>
          <cell r="AZ1293">
            <v>0</v>
          </cell>
          <cell r="BA1293">
            <v>0</v>
          </cell>
          <cell r="BD1293" t="str">
            <v/>
          </cell>
          <cell r="BE1293">
            <v>1</v>
          </cell>
          <cell r="BG1293" t="str">
            <v>1100</v>
          </cell>
        </row>
        <row r="1294">
          <cell r="B1294" t="str">
            <v>G242030206100200</v>
          </cell>
          <cell r="C1294" t="str">
            <v>24.三重県</v>
          </cell>
          <cell r="D1294" t="str">
            <v>203</v>
          </cell>
          <cell r="E1294" t="str">
            <v>伊勢市</v>
          </cell>
          <cell r="F1294" t="str">
            <v>02</v>
          </cell>
          <cell r="G1294" t="str">
            <v>特環 単独</v>
          </cell>
          <cell r="H1294" t="str">
            <v>特定環境保全公共下水道</v>
          </cell>
          <cell r="I1294" t="str">
            <v>単独</v>
          </cell>
          <cell r="J1294" t="str">
            <v>002</v>
          </cell>
          <cell r="K1294" t="str">
            <v>茶屋クリーンセンター</v>
          </cell>
          <cell r="M1294" t="str">
            <v>1</v>
          </cell>
          <cell r="N1294" t="str">
            <v>1</v>
          </cell>
          <cell r="Q1294">
            <v>34243</v>
          </cell>
          <cell r="R1294" t="str">
            <v>平成</v>
          </cell>
          <cell r="S1294">
            <v>5</v>
          </cell>
          <cell r="T1294">
            <v>10</v>
          </cell>
          <cell r="AB1294">
            <v>1850</v>
          </cell>
          <cell r="AC1294" t="str">
            <v>伊勢湾</v>
          </cell>
          <cell r="AD1294" t="str">
            <v>Ａ-1</v>
          </cell>
          <cell r="AF1294">
            <v>20</v>
          </cell>
          <cell r="AI1294" t="str">
            <v>茶屋雨水幹線</v>
          </cell>
          <cell r="AQ1294" t="str">
            <v/>
          </cell>
          <cell r="AR1294" t="str">
            <v>好気性ろ床法</v>
          </cell>
          <cell r="AS1294" t="str">
            <v>2420302002</v>
          </cell>
          <cell r="AT1294" t="str">
            <v/>
          </cell>
          <cell r="AU1294" t="str">
            <v>10</v>
          </cell>
          <cell r="AV1294" t="str">
            <v>10</v>
          </cell>
          <cell r="AW1294">
            <v>0</v>
          </cell>
          <cell r="AX1294">
            <v>0</v>
          </cell>
          <cell r="AY1294">
            <v>0</v>
          </cell>
          <cell r="AZ1294">
            <v>0</v>
          </cell>
          <cell r="BA1294">
            <v>0</v>
          </cell>
          <cell r="BD1294" t="str">
            <v/>
          </cell>
          <cell r="BE1294">
            <v>1</v>
          </cell>
          <cell r="BG1294" t="str">
            <v>1100</v>
          </cell>
        </row>
        <row r="1295">
          <cell r="B1295" t="str">
            <v>G242030206100300</v>
          </cell>
          <cell r="C1295" t="str">
            <v>24.三重県</v>
          </cell>
          <cell r="D1295" t="str">
            <v>203</v>
          </cell>
          <cell r="E1295" t="str">
            <v>伊勢市</v>
          </cell>
          <cell r="F1295" t="str">
            <v>02</v>
          </cell>
          <cell r="G1295" t="str">
            <v>特環 単独</v>
          </cell>
          <cell r="H1295" t="str">
            <v>特定環境保全公共下水道</v>
          </cell>
          <cell r="I1295" t="str">
            <v>単独</v>
          </cell>
          <cell r="J1295" t="str">
            <v>003</v>
          </cell>
          <cell r="K1295" t="str">
            <v>五十鈴川中村浄化センター</v>
          </cell>
          <cell r="M1295" t="str">
            <v>1</v>
          </cell>
          <cell r="N1295" t="str">
            <v>1</v>
          </cell>
          <cell r="Q1295">
            <v>36220</v>
          </cell>
          <cell r="R1295" t="str">
            <v>平成</v>
          </cell>
          <cell r="S1295">
            <v>11</v>
          </cell>
          <cell r="T1295">
            <v>3</v>
          </cell>
          <cell r="AB1295">
            <v>12967</v>
          </cell>
          <cell r="AC1295" t="str">
            <v>五十鈴川</v>
          </cell>
          <cell r="AD1295" t="str">
            <v>Ａ</v>
          </cell>
          <cell r="AE1295" t="str">
            <v>イ</v>
          </cell>
          <cell r="AF1295">
            <v>15</v>
          </cell>
          <cell r="AG1295">
            <v>15</v>
          </cell>
          <cell r="AH1295">
            <v>1</v>
          </cell>
          <cell r="AK1295" t="str">
            <v>五十鈴川</v>
          </cell>
          <cell r="AL1295" t="str">
            <v>五十鈴川水源地</v>
          </cell>
          <cell r="AM1295">
            <v>0.2</v>
          </cell>
          <cell r="AO1295" t="str">
            <v>伊勢市</v>
          </cell>
          <cell r="AQ1295" t="str">
            <v/>
          </cell>
          <cell r="AR1295" t="str">
            <v>オキシディションディッチ法</v>
          </cell>
          <cell r="AS1295" t="str">
            <v>2420302003</v>
          </cell>
          <cell r="AT1295" t="str">
            <v/>
          </cell>
          <cell r="AU1295" t="str">
            <v>10</v>
          </cell>
          <cell r="AV1295" t="str">
            <v>10</v>
          </cell>
          <cell r="AW1295">
            <v>0</v>
          </cell>
          <cell r="AX1295">
            <v>0</v>
          </cell>
          <cell r="AY1295">
            <v>0</v>
          </cell>
          <cell r="AZ1295">
            <v>0</v>
          </cell>
          <cell r="BA1295">
            <v>0</v>
          </cell>
          <cell r="BD1295" t="str">
            <v/>
          </cell>
          <cell r="BE1295">
            <v>1</v>
          </cell>
          <cell r="BG1295" t="str">
            <v>1100</v>
          </cell>
        </row>
        <row r="1296">
          <cell r="B1296" t="str">
            <v>G242050106100100</v>
          </cell>
          <cell r="C1296" t="str">
            <v>24.三重県</v>
          </cell>
          <cell r="D1296" t="str">
            <v>205</v>
          </cell>
          <cell r="E1296" t="str">
            <v>桑名市</v>
          </cell>
          <cell r="F1296" t="str">
            <v>01</v>
          </cell>
          <cell r="G1296" t="str">
            <v>公共 単独</v>
          </cell>
          <cell r="H1296" t="str">
            <v>公共下水道</v>
          </cell>
          <cell r="I1296" t="str">
            <v>単独</v>
          </cell>
          <cell r="J1296" t="str">
            <v>001</v>
          </cell>
          <cell r="K1296" t="str">
            <v>長島浄化センター</v>
          </cell>
          <cell r="M1296" t="str">
            <v>1</v>
          </cell>
          <cell r="N1296" t="str">
            <v>1</v>
          </cell>
          <cell r="Q1296">
            <v>36526</v>
          </cell>
          <cell r="R1296" t="str">
            <v>平成</v>
          </cell>
          <cell r="S1296">
            <v>12</v>
          </cell>
          <cell r="T1296">
            <v>1</v>
          </cell>
          <cell r="AB1296">
            <v>21840</v>
          </cell>
          <cell r="AC1296" t="str">
            <v>長良川（下流）</v>
          </cell>
          <cell r="AD1296" t="str">
            <v>Ｂ</v>
          </cell>
          <cell r="AE1296" t="str">
            <v>イ</v>
          </cell>
          <cell r="AF1296">
            <v>15</v>
          </cell>
          <cell r="AH1296">
            <v>1</v>
          </cell>
          <cell r="AI1296" t="str">
            <v>長良川水域丸八川</v>
          </cell>
          <cell r="AK1296" t="str">
            <v>長良川</v>
          </cell>
          <cell r="AL1296" t="str">
            <v>長良川河口堰</v>
          </cell>
          <cell r="AM1296">
            <v>2</v>
          </cell>
          <cell r="AO1296" t="str">
            <v>長良導水</v>
          </cell>
          <cell r="AQ1296" t="str">
            <v/>
          </cell>
          <cell r="AR1296" t="str">
            <v>標準活性汚泥法</v>
          </cell>
          <cell r="AS1296" t="str">
            <v>2420501001</v>
          </cell>
          <cell r="AT1296" t="str">
            <v/>
          </cell>
          <cell r="AU1296" t="str">
            <v>10</v>
          </cell>
          <cell r="AV1296" t="str">
            <v>10</v>
          </cell>
          <cell r="AW1296">
            <v>0</v>
          </cell>
          <cell r="AX1296">
            <v>0</v>
          </cell>
          <cell r="AY1296">
            <v>0</v>
          </cell>
          <cell r="AZ1296">
            <v>0</v>
          </cell>
          <cell r="BA1296">
            <v>0</v>
          </cell>
          <cell r="BD1296" t="str">
            <v/>
          </cell>
          <cell r="BE1296">
            <v>1</v>
          </cell>
          <cell r="BG1296" t="str">
            <v>1100</v>
          </cell>
        </row>
        <row r="1297">
          <cell r="B1297" t="str">
            <v>G242080106100100</v>
          </cell>
          <cell r="C1297" t="str">
            <v>24.三重県</v>
          </cell>
          <cell r="D1297" t="str">
            <v>208</v>
          </cell>
          <cell r="E1297" t="str">
            <v>名張市</v>
          </cell>
          <cell r="F1297" t="str">
            <v>01</v>
          </cell>
          <cell r="G1297" t="str">
            <v>公共 単独</v>
          </cell>
          <cell r="H1297" t="str">
            <v>公共下水道</v>
          </cell>
          <cell r="I1297" t="str">
            <v>単独</v>
          </cell>
          <cell r="J1297" t="str">
            <v>001</v>
          </cell>
          <cell r="K1297" t="str">
            <v>中央浄化センター</v>
          </cell>
          <cell r="M1297" t="str">
            <v>1</v>
          </cell>
          <cell r="N1297" t="str">
            <v>1</v>
          </cell>
          <cell r="P1297" t="str">
            <v>1</v>
          </cell>
          <cell r="Q1297">
            <v>38807</v>
          </cell>
          <cell r="R1297" t="str">
            <v>平成</v>
          </cell>
          <cell r="S1297">
            <v>18</v>
          </cell>
          <cell r="T1297">
            <v>3</v>
          </cell>
          <cell r="AB1297">
            <v>26000</v>
          </cell>
          <cell r="AC1297" t="str">
            <v>大阪湾</v>
          </cell>
          <cell r="AD1297" t="str">
            <v>ＡＡ</v>
          </cell>
          <cell r="AE1297" t="str">
            <v>イ</v>
          </cell>
          <cell r="AF1297">
            <v>15</v>
          </cell>
          <cell r="AG1297">
            <v>8</v>
          </cell>
          <cell r="AH1297">
            <v>0.8</v>
          </cell>
          <cell r="AI1297" t="str">
            <v>名張川</v>
          </cell>
          <cell r="AK1297" t="str">
            <v>淀川</v>
          </cell>
          <cell r="AL1297" t="str">
            <v>大屋戸浄水場</v>
          </cell>
          <cell r="AM1297">
            <v>0.9</v>
          </cell>
          <cell r="AO1297" t="str">
            <v>名張市</v>
          </cell>
          <cell r="AQ1297" t="str">
            <v/>
          </cell>
          <cell r="AR1297" t="str">
            <v>ステップ流入式多段硝化脱窒法</v>
          </cell>
          <cell r="AS1297" t="str">
            <v>2420801001</v>
          </cell>
          <cell r="AT1297" t="str">
            <v/>
          </cell>
          <cell r="AU1297" t="str">
            <v>10</v>
          </cell>
          <cell r="AV1297" t="str">
            <v>10</v>
          </cell>
          <cell r="AW1297">
            <v>1</v>
          </cell>
          <cell r="AX1297">
            <v>0</v>
          </cell>
          <cell r="AY1297">
            <v>0</v>
          </cell>
          <cell r="AZ1297">
            <v>0</v>
          </cell>
          <cell r="BA1297">
            <v>0</v>
          </cell>
          <cell r="BD1297" t="str">
            <v/>
          </cell>
          <cell r="BE1297">
            <v>1</v>
          </cell>
          <cell r="BG1297" t="str">
            <v>1101</v>
          </cell>
        </row>
        <row r="1298">
          <cell r="B1298" t="str">
            <v>G242110206100100</v>
          </cell>
          <cell r="C1298" t="str">
            <v>24.三重県</v>
          </cell>
          <cell r="D1298" t="str">
            <v>211</v>
          </cell>
          <cell r="E1298" t="str">
            <v>鳥羽市</v>
          </cell>
          <cell r="F1298" t="str">
            <v>02</v>
          </cell>
          <cell r="G1298" t="str">
            <v>特環 単独</v>
          </cell>
          <cell r="H1298" t="str">
            <v>特定環境保全公共下水道</v>
          </cell>
          <cell r="I1298" t="str">
            <v>単独</v>
          </cell>
          <cell r="J1298" t="str">
            <v>001</v>
          </cell>
          <cell r="K1298" t="str">
            <v>相差浄化センター</v>
          </cell>
          <cell r="M1298" t="str">
            <v>1</v>
          </cell>
          <cell r="N1298" t="str">
            <v>1</v>
          </cell>
          <cell r="Q1298">
            <v>35490</v>
          </cell>
          <cell r="R1298" t="str">
            <v>平成</v>
          </cell>
          <cell r="S1298">
            <v>9</v>
          </cell>
          <cell r="T1298">
            <v>3</v>
          </cell>
          <cell r="AB1298">
            <v>4798</v>
          </cell>
          <cell r="AC1298" t="str">
            <v>英虞湾水域</v>
          </cell>
          <cell r="AD1298" t="str">
            <v>Ａ-Ⅱ</v>
          </cell>
          <cell r="AE1298" t="str">
            <v>イ</v>
          </cell>
          <cell r="AF1298">
            <v>10</v>
          </cell>
          <cell r="AG1298">
            <v>30</v>
          </cell>
          <cell r="AH1298">
            <v>3</v>
          </cell>
          <cell r="AI1298" t="str">
            <v>伊勢湾</v>
          </cell>
          <cell r="AQ1298" t="str">
            <v/>
          </cell>
          <cell r="AR1298" t="str">
            <v>好気性ろ床法</v>
          </cell>
          <cell r="AS1298" t="str">
            <v>2421102001</v>
          </cell>
          <cell r="AT1298" t="str">
            <v/>
          </cell>
          <cell r="AU1298" t="str">
            <v>10</v>
          </cell>
          <cell r="AV1298" t="str">
            <v>10</v>
          </cell>
          <cell r="AW1298">
            <v>0</v>
          </cell>
          <cell r="AX1298">
            <v>0</v>
          </cell>
          <cell r="AY1298">
            <v>0</v>
          </cell>
          <cell r="AZ1298">
            <v>0</v>
          </cell>
          <cell r="BA1298">
            <v>0</v>
          </cell>
          <cell r="BD1298" t="str">
            <v/>
          </cell>
          <cell r="BE1298">
            <v>1</v>
          </cell>
          <cell r="BG1298" t="str">
            <v>1100</v>
          </cell>
        </row>
        <row r="1299">
          <cell r="B1299" t="str">
            <v>G242150206100100</v>
          </cell>
          <cell r="C1299" t="str">
            <v>24.三重県</v>
          </cell>
          <cell r="D1299" t="str">
            <v>215</v>
          </cell>
          <cell r="E1299" t="str">
            <v>志摩市</v>
          </cell>
          <cell r="F1299" t="str">
            <v>02</v>
          </cell>
          <cell r="G1299" t="str">
            <v>特環 単独</v>
          </cell>
          <cell r="H1299" t="str">
            <v>特定環境保全公共下水道</v>
          </cell>
          <cell r="I1299" t="str">
            <v>単独</v>
          </cell>
          <cell r="J1299" t="str">
            <v>001</v>
          </cell>
          <cell r="K1299" t="str">
            <v>坂崎浄化センター</v>
          </cell>
          <cell r="M1299" t="str">
            <v>1</v>
          </cell>
          <cell r="N1299" t="str">
            <v>1</v>
          </cell>
          <cell r="O1299" t="str">
            <v>1</v>
          </cell>
          <cell r="Q1299">
            <v>35886</v>
          </cell>
          <cell r="R1299" t="str">
            <v>平成</v>
          </cell>
          <cell r="S1299">
            <v>10</v>
          </cell>
          <cell r="T1299">
            <v>4</v>
          </cell>
          <cell r="AB1299">
            <v>1887</v>
          </cell>
          <cell r="AC1299" t="str">
            <v>伊勢湾</v>
          </cell>
          <cell r="AD1299" t="str">
            <v>Ａ</v>
          </cell>
          <cell r="AE1299" t="str">
            <v>イ</v>
          </cell>
          <cell r="AF1299">
            <v>12</v>
          </cell>
          <cell r="AG1299">
            <v>15</v>
          </cell>
          <cell r="AH1299">
            <v>1</v>
          </cell>
          <cell r="AI1299" t="str">
            <v>的矢湾</v>
          </cell>
          <cell r="AQ1299" t="str">
            <v/>
          </cell>
          <cell r="AR1299" t="str">
            <v>オキシディションディッチ法</v>
          </cell>
          <cell r="AS1299" t="str">
            <v>2421502001</v>
          </cell>
          <cell r="AT1299" t="str">
            <v/>
          </cell>
          <cell r="AU1299" t="str">
            <v>11</v>
          </cell>
          <cell r="AV1299" t="str">
            <v>11</v>
          </cell>
          <cell r="AW1299">
            <v>0</v>
          </cell>
          <cell r="AX1299">
            <v>0</v>
          </cell>
          <cell r="AY1299">
            <v>0</v>
          </cell>
          <cell r="AZ1299">
            <v>0</v>
          </cell>
          <cell r="BA1299">
            <v>0</v>
          </cell>
          <cell r="BD1299" t="str">
            <v/>
          </cell>
          <cell r="BE1299">
            <v>1</v>
          </cell>
          <cell r="BG1299" t="str">
            <v>1110</v>
          </cell>
        </row>
        <row r="1300">
          <cell r="B1300" t="str">
            <v>G242150206100200</v>
          </cell>
          <cell r="C1300" t="str">
            <v>24.三重県</v>
          </cell>
          <cell r="D1300" t="str">
            <v>215</v>
          </cell>
          <cell r="E1300" t="str">
            <v>志摩市</v>
          </cell>
          <cell r="F1300" t="str">
            <v>02</v>
          </cell>
          <cell r="G1300" t="str">
            <v>特環 単独</v>
          </cell>
          <cell r="H1300" t="str">
            <v>特定環境保全公共下水道</v>
          </cell>
          <cell r="I1300" t="str">
            <v>単独</v>
          </cell>
          <cell r="J1300" t="str">
            <v>002</v>
          </cell>
          <cell r="K1300" t="str">
            <v>的矢浄化センター</v>
          </cell>
          <cell r="M1300" t="str">
            <v>1</v>
          </cell>
          <cell r="N1300" t="str">
            <v>1</v>
          </cell>
          <cell r="O1300" t="str">
            <v>1</v>
          </cell>
          <cell r="Q1300">
            <v>36982</v>
          </cell>
          <cell r="R1300" t="str">
            <v>平成</v>
          </cell>
          <cell r="S1300">
            <v>13</v>
          </cell>
          <cell r="T1300">
            <v>4</v>
          </cell>
          <cell r="AB1300">
            <v>2000</v>
          </cell>
          <cell r="AC1300" t="str">
            <v>伊勢湾</v>
          </cell>
          <cell r="AD1300" t="str">
            <v>Ａ</v>
          </cell>
          <cell r="AE1300" t="str">
            <v>イ</v>
          </cell>
          <cell r="AF1300">
            <v>12</v>
          </cell>
          <cell r="AG1300">
            <v>15</v>
          </cell>
          <cell r="AH1300">
            <v>1</v>
          </cell>
          <cell r="AI1300" t="str">
            <v>的矢湾</v>
          </cell>
          <cell r="AQ1300" t="str">
            <v/>
          </cell>
          <cell r="AR1300" t="str">
            <v>オキシディションディッチ法</v>
          </cell>
          <cell r="AS1300" t="str">
            <v>2421502002</v>
          </cell>
          <cell r="AT1300" t="str">
            <v/>
          </cell>
          <cell r="AU1300" t="str">
            <v>11</v>
          </cell>
          <cell r="AV1300" t="str">
            <v>11</v>
          </cell>
          <cell r="AW1300">
            <v>0</v>
          </cell>
          <cell r="AX1300">
            <v>0</v>
          </cell>
          <cell r="AY1300">
            <v>0</v>
          </cell>
          <cell r="AZ1300">
            <v>0</v>
          </cell>
          <cell r="BA1300">
            <v>0</v>
          </cell>
          <cell r="BD1300" t="str">
            <v/>
          </cell>
          <cell r="BE1300">
            <v>1</v>
          </cell>
          <cell r="BG1300" t="str">
            <v>1110</v>
          </cell>
        </row>
        <row r="1301">
          <cell r="B1301" t="str">
            <v>G242150206100300</v>
          </cell>
          <cell r="C1301" t="str">
            <v>24.三重県</v>
          </cell>
          <cell r="D1301" t="str">
            <v>215</v>
          </cell>
          <cell r="E1301" t="str">
            <v>志摩市</v>
          </cell>
          <cell r="F1301" t="str">
            <v>02</v>
          </cell>
          <cell r="G1301" t="str">
            <v>特環 単独</v>
          </cell>
          <cell r="H1301" t="str">
            <v>特定環境保全公共下水道</v>
          </cell>
          <cell r="I1301" t="str">
            <v>単独</v>
          </cell>
          <cell r="J1301" t="str">
            <v>003</v>
          </cell>
          <cell r="K1301" t="str">
            <v>神明浄化センター</v>
          </cell>
          <cell r="M1301" t="str">
            <v>1</v>
          </cell>
          <cell r="N1301" t="str">
            <v>1</v>
          </cell>
          <cell r="Q1301">
            <v>36982</v>
          </cell>
          <cell r="R1301" t="str">
            <v>平成</v>
          </cell>
          <cell r="S1301">
            <v>13</v>
          </cell>
          <cell r="T1301">
            <v>4</v>
          </cell>
          <cell r="AB1301">
            <v>18000</v>
          </cell>
          <cell r="AC1301" t="str">
            <v>英虞湾</v>
          </cell>
          <cell r="AD1301" t="str">
            <v>Ａ</v>
          </cell>
          <cell r="AE1301" t="str">
            <v>イ</v>
          </cell>
          <cell r="AF1301">
            <v>5</v>
          </cell>
          <cell r="AG1301">
            <v>10</v>
          </cell>
          <cell r="AH1301">
            <v>1</v>
          </cell>
          <cell r="AI1301" t="str">
            <v>英虞湾</v>
          </cell>
          <cell r="AQ1301" t="str">
            <v/>
          </cell>
          <cell r="AR1301" t="str">
            <v>オキシディションディッチ法</v>
          </cell>
          <cell r="AS1301" t="str">
            <v>2421502003</v>
          </cell>
          <cell r="AT1301" t="str">
            <v/>
          </cell>
          <cell r="AU1301" t="str">
            <v>10</v>
          </cell>
          <cell r="AV1301" t="str">
            <v>10</v>
          </cell>
          <cell r="AW1301">
            <v>0</v>
          </cell>
          <cell r="AX1301">
            <v>0</v>
          </cell>
          <cell r="AY1301">
            <v>0</v>
          </cell>
          <cell r="AZ1301">
            <v>0</v>
          </cell>
          <cell r="BA1301">
            <v>0</v>
          </cell>
          <cell r="BD1301" t="str">
            <v/>
          </cell>
          <cell r="BE1301">
            <v>1</v>
          </cell>
          <cell r="BG1301" t="str">
            <v>1100</v>
          </cell>
        </row>
        <row r="1302">
          <cell r="B1302" t="str">
            <v>G242150206100400</v>
          </cell>
          <cell r="C1302" t="str">
            <v>24.三重県</v>
          </cell>
          <cell r="D1302" t="str">
            <v>215</v>
          </cell>
          <cell r="E1302" t="str">
            <v>志摩市</v>
          </cell>
          <cell r="F1302" t="str">
            <v>02</v>
          </cell>
          <cell r="G1302" t="str">
            <v>特環 単独</v>
          </cell>
          <cell r="H1302" t="str">
            <v>特定環境保全公共下水道</v>
          </cell>
          <cell r="I1302" t="str">
            <v>単独</v>
          </cell>
          <cell r="J1302" t="str">
            <v>004</v>
          </cell>
          <cell r="K1302" t="str">
            <v>船越浄化センター</v>
          </cell>
          <cell r="M1302" t="str">
            <v>1</v>
          </cell>
          <cell r="N1302" t="str">
            <v>1</v>
          </cell>
          <cell r="Q1302">
            <v>37347</v>
          </cell>
          <cell r="R1302" t="str">
            <v>平成</v>
          </cell>
          <cell r="S1302">
            <v>14</v>
          </cell>
          <cell r="T1302">
            <v>4</v>
          </cell>
          <cell r="AB1302">
            <v>4946</v>
          </cell>
          <cell r="AC1302" t="str">
            <v>英虞湾</v>
          </cell>
          <cell r="AD1302" t="str">
            <v>Ａ</v>
          </cell>
          <cell r="AE1302" t="str">
            <v>イ</v>
          </cell>
          <cell r="AF1302">
            <v>12</v>
          </cell>
          <cell r="AG1302">
            <v>20</v>
          </cell>
          <cell r="AH1302">
            <v>2</v>
          </cell>
          <cell r="AI1302" t="str">
            <v>英虞湾</v>
          </cell>
          <cell r="AQ1302" t="str">
            <v/>
          </cell>
          <cell r="AR1302" t="str">
            <v>長時間エアレーション法</v>
          </cell>
          <cell r="AS1302" t="str">
            <v>2421502004</v>
          </cell>
          <cell r="AT1302" t="str">
            <v/>
          </cell>
          <cell r="AU1302" t="str">
            <v>10</v>
          </cell>
          <cell r="AV1302" t="str">
            <v>10</v>
          </cell>
          <cell r="AW1302">
            <v>0</v>
          </cell>
          <cell r="AX1302">
            <v>0</v>
          </cell>
          <cell r="AY1302">
            <v>0</v>
          </cell>
          <cell r="AZ1302">
            <v>0</v>
          </cell>
          <cell r="BA1302">
            <v>0</v>
          </cell>
          <cell r="BD1302" t="str">
            <v/>
          </cell>
          <cell r="BE1302">
            <v>1</v>
          </cell>
          <cell r="BG1302" t="str">
            <v>1100</v>
          </cell>
        </row>
        <row r="1303">
          <cell r="B1303" t="str">
            <v>G242150206100500</v>
          </cell>
          <cell r="C1303" t="str">
            <v>24.三重県</v>
          </cell>
          <cell r="D1303" t="str">
            <v>215</v>
          </cell>
          <cell r="E1303" t="str">
            <v>志摩市</v>
          </cell>
          <cell r="F1303" t="str">
            <v>02</v>
          </cell>
          <cell r="G1303" t="str">
            <v>特環 単独</v>
          </cell>
          <cell r="H1303" t="str">
            <v>特定環境保全公共下水道</v>
          </cell>
          <cell r="I1303" t="str">
            <v>単独</v>
          </cell>
          <cell r="J1303" t="str">
            <v>005</v>
          </cell>
          <cell r="K1303" t="str">
            <v>迫塩桧浄化センター</v>
          </cell>
          <cell r="M1303" t="str">
            <v>1</v>
          </cell>
          <cell r="N1303" t="str">
            <v>1</v>
          </cell>
          <cell r="Q1303">
            <v>38047</v>
          </cell>
          <cell r="R1303" t="str">
            <v>平成</v>
          </cell>
          <cell r="S1303">
            <v>16</v>
          </cell>
          <cell r="T1303">
            <v>3</v>
          </cell>
          <cell r="AB1303">
            <v>3900</v>
          </cell>
          <cell r="AC1303" t="str">
            <v>英虞湾</v>
          </cell>
          <cell r="AD1303" t="str">
            <v>Ａ</v>
          </cell>
          <cell r="AE1303" t="str">
            <v>イ</v>
          </cell>
          <cell r="AI1303" t="str">
            <v>英虞湾</v>
          </cell>
          <cell r="AQ1303" t="str">
            <v/>
          </cell>
          <cell r="AR1303" t="str">
            <v>オキシディションディッチ法</v>
          </cell>
          <cell r="AS1303" t="str">
            <v>2421502005</v>
          </cell>
          <cell r="AT1303" t="str">
            <v/>
          </cell>
          <cell r="AU1303" t="str">
            <v>10</v>
          </cell>
          <cell r="AV1303" t="str">
            <v>10</v>
          </cell>
          <cell r="AW1303">
            <v>0</v>
          </cell>
          <cell r="AX1303">
            <v>0</v>
          </cell>
          <cell r="AY1303">
            <v>0</v>
          </cell>
          <cell r="AZ1303">
            <v>0</v>
          </cell>
          <cell r="BA1303">
            <v>0</v>
          </cell>
          <cell r="BD1303" t="str">
            <v/>
          </cell>
          <cell r="BE1303">
            <v>1</v>
          </cell>
          <cell r="BG1303" t="str">
            <v>1100</v>
          </cell>
        </row>
        <row r="1304">
          <cell r="B1304" t="str">
            <v>G242160106100100</v>
          </cell>
          <cell r="C1304" t="str">
            <v>24.三重県</v>
          </cell>
          <cell r="D1304" t="str">
            <v>216</v>
          </cell>
          <cell r="E1304" t="str">
            <v>伊賀市</v>
          </cell>
          <cell r="F1304" t="str">
            <v>01</v>
          </cell>
          <cell r="G1304" t="str">
            <v>公共 単独</v>
          </cell>
          <cell r="H1304" t="str">
            <v>公共下水道</v>
          </cell>
          <cell r="I1304" t="str">
            <v>単独</v>
          </cell>
          <cell r="J1304" t="str">
            <v>001</v>
          </cell>
          <cell r="K1304" t="str">
            <v>上野新都市浄化センター</v>
          </cell>
          <cell r="M1304" t="str">
            <v>1</v>
          </cell>
          <cell r="N1304" t="str">
            <v>1</v>
          </cell>
          <cell r="Q1304">
            <v>35490</v>
          </cell>
          <cell r="R1304" t="str">
            <v>平成</v>
          </cell>
          <cell r="S1304">
            <v>9</v>
          </cell>
          <cell r="T1304">
            <v>3</v>
          </cell>
          <cell r="AB1304">
            <v>13700</v>
          </cell>
          <cell r="AC1304" t="str">
            <v>淀川水系木津川上流水域</v>
          </cell>
          <cell r="AD1304" t="str">
            <v>Ｂ</v>
          </cell>
          <cell r="AE1304" t="str">
            <v>ハ</v>
          </cell>
          <cell r="AF1304">
            <v>10</v>
          </cell>
          <cell r="AK1304" t="str">
            <v>久米川</v>
          </cell>
          <cell r="AQ1304" t="str">
            <v/>
          </cell>
          <cell r="AR1304" t="str">
            <v>その他処理方法</v>
          </cell>
          <cell r="AS1304" t="str">
            <v>2421601001</v>
          </cell>
          <cell r="AT1304" t="str">
            <v/>
          </cell>
          <cell r="AU1304" t="str">
            <v>10</v>
          </cell>
          <cell r="AV1304" t="str">
            <v>10</v>
          </cell>
          <cell r="AW1304">
            <v>0</v>
          </cell>
          <cell r="AX1304">
            <v>0</v>
          </cell>
          <cell r="AY1304">
            <v>0</v>
          </cell>
          <cell r="AZ1304">
            <v>0</v>
          </cell>
          <cell r="BA1304">
            <v>0</v>
          </cell>
          <cell r="BD1304" t="str">
            <v/>
          </cell>
          <cell r="BE1304">
            <v>1</v>
          </cell>
          <cell r="BG1304" t="str">
            <v>1100</v>
          </cell>
        </row>
        <row r="1305">
          <cell r="B1305" t="str">
            <v>G242160206100200</v>
          </cell>
          <cell r="C1305" t="str">
            <v>24.三重県</v>
          </cell>
          <cell r="D1305" t="str">
            <v>216</v>
          </cell>
          <cell r="E1305" t="str">
            <v>伊賀市</v>
          </cell>
          <cell r="F1305" t="str">
            <v>02</v>
          </cell>
          <cell r="G1305" t="str">
            <v>特環 単独</v>
          </cell>
          <cell r="H1305" t="str">
            <v>特定環境保全公共下水道</v>
          </cell>
          <cell r="I1305" t="str">
            <v>単独</v>
          </cell>
          <cell r="J1305" t="str">
            <v>002</v>
          </cell>
          <cell r="K1305" t="str">
            <v>柘植浄化センター</v>
          </cell>
          <cell r="M1305" t="str">
            <v>1</v>
          </cell>
          <cell r="N1305" t="str">
            <v>1</v>
          </cell>
          <cell r="P1305" t="str">
            <v>1</v>
          </cell>
          <cell r="Q1305">
            <v>35704</v>
          </cell>
          <cell r="R1305" t="str">
            <v>平成</v>
          </cell>
          <cell r="S1305">
            <v>9</v>
          </cell>
          <cell r="T1305">
            <v>10</v>
          </cell>
          <cell r="AB1305">
            <v>9958</v>
          </cell>
          <cell r="AC1305" t="str">
            <v>淀川水系木津川</v>
          </cell>
          <cell r="AD1305" t="str">
            <v>Ａ</v>
          </cell>
          <cell r="AE1305" t="str">
            <v>イ</v>
          </cell>
          <cell r="AF1305">
            <v>10</v>
          </cell>
          <cell r="AK1305" t="str">
            <v>柘植川</v>
          </cell>
          <cell r="AL1305" t="str">
            <v>岡鼻取水場</v>
          </cell>
          <cell r="AM1305">
            <v>3.1</v>
          </cell>
          <cell r="AO1305" t="str">
            <v>伊賀市</v>
          </cell>
          <cell r="AQ1305" t="str">
            <v/>
          </cell>
          <cell r="AR1305" t="str">
            <v>オキシディションディッチ法</v>
          </cell>
          <cell r="AS1305" t="str">
            <v>2421602002</v>
          </cell>
          <cell r="AT1305" t="str">
            <v/>
          </cell>
          <cell r="AU1305" t="str">
            <v>10</v>
          </cell>
          <cell r="AV1305" t="str">
            <v>10</v>
          </cell>
          <cell r="AW1305">
            <v>1</v>
          </cell>
          <cell r="AX1305">
            <v>0</v>
          </cell>
          <cell r="AY1305">
            <v>0</v>
          </cell>
          <cell r="AZ1305">
            <v>0</v>
          </cell>
          <cell r="BA1305">
            <v>0</v>
          </cell>
          <cell r="BD1305" t="str">
            <v/>
          </cell>
          <cell r="BE1305">
            <v>1</v>
          </cell>
          <cell r="BG1305" t="str">
            <v>1101</v>
          </cell>
        </row>
        <row r="1306">
          <cell r="B1306" t="str">
            <v>G242160206100300</v>
          </cell>
          <cell r="C1306" t="str">
            <v>24.三重県</v>
          </cell>
          <cell r="D1306" t="str">
            <v>216</v>
          </cell>
          <cell r="E1306" t="str">
            <v>伊賀市</v>
          </cell>
          <cell r="F1306" t="str">
            <v>02</v>
          </cell>
          <cell r="G1306" t="str">
            <v>特環 単独</v>
          </cell>
          <cell r="H1306" t="str">
            <v>特定環境保全公共下水道</v>
          </cell>
          <cell r="I1306" t="str">
            <v>単独</v>
          </cell>
          <cell r="J1306" t="str">
            <v>003</v>
          </cell>
          <cell r="K1306" t="str">
            <v>島ヶ原浄化センター</v>
          </cell>
          <cell r="M1306" t="str">
            <v>1</v>
          </cell>
          <cell r="N1306" t="str">
            <v>1</v>
          </cell>
          <cell r="Q1306">
            <v>37165</v>
          </cell>
          <cell r="R1306" t="str">
            <v>平成</v>
          </cell>
          <cell r="S1306">
            <v>13</v>
          </cell>
          <cell r="T1306">
            <v>10</v>
          </cell>
          <cell r="AB1306">
            <v>5000</v>
          </cell>
          <cell r="AC1306" t="str">
            <v>淀川水系木津川</v>
          </cell>
          <cell r="AF1306">
            <v>10</v>
          </cell>
          <cell r="AK1306" t="str">
            <v>小山川</v>
          </cell>
          <cell r="AN1306">
            <v>20</v>
          </cell>
          <cell r="AO1306" t="str">
            <v>奈良市</v>
          </cell>
          <cell r="AQ1306" t="str">
            <v/>
          </cell>
          <cell r="AR1306" t="str">
            <v>オキシディションディッチ法</v>
          </cell>
          <cell r="AS1306" t="str">
            <v>2421602003</v>
          </cell>
          <cell r="AT1306" t="str">
            <v/>
          </cell>
          <cell r="AU1306" t="str">
            <v>10</v>
          </cell>
          <cell r="AV1306" t="str">
            <v>10</v>
          </cell>
          <cell r="AW1306">
            <v>0</v>
          </cell>
          <cell r="AX1306">
            <v>0</v>
          </cell>
          <cell r="AY1306">
            <v>0</v>
          </cell>
          <cell r="AZ1306">
            <v>0</v>
          </cell>
          <cell r="BA1306">
            <v>0</v>
          </cell>
          <cell r="BD1306" t="str">
            <v/>
          </cell>
          <cell r="BE1306">
            <v>1</v>
          </cell>
          <cell r="BG1306" t="str">
            <v>1100</v>
          </cell>
        </row>
        <row r="1307">
          <cell r="B1307" t="str">
            <v>G242160206100400</v>
          </cell>
          <cell r="C1307" t="str">
            <v>24.三重県</v>
          </cell>
          <cell r="D1307" t="str">
            <v>216</v>
          </cell>
          <cell r="E1307" t="str">
            <v>伊賀市</v>
          </cell>
          <cell r="F1307" t="str">
            <v>02</v>
          </cell>
          <cell r="G1307" t="str">
            <v>特環 単独</v>
          </cell>
          <cell r="H1307" t="str">
            <v>特定環境保全公共下水道</v>
          </cell>
          <cell r="I1307" t="str">
            <v>単独</v>
          </cell>
          <cell r="J1307" t="str">
            <v>004</v>
          </cell>
          <cell r="K1307" t="str">
            <v>せせらぎ浄化センター</v>
          </cell>
          <cell r="M1307" t="str">
            <v>1</v>
          </cell>
          <cell r="N1307" t="str">
            <v>1</v>
          </cell>
          <cell r="Q1307">
            <v>38078</v>
          </cell>
          <cell r="R1307" t="str">
            <v>平成</v>
          </cell>
          <cell r="S1307">
            <v>16</v>
          </cell>
          <cell r="T1307">
            <v>4</v>
          </cell>
          <cell r="AB1307">
            <v>10379</v>
          </cell>
          <cell r="AC1307" t="str">
            <v>淀川水系木津川</v>
          </cell>
          <cell r="AD1307" t="str">
            <v>Ａ</v>
          </cell>
          <cell r="AE1307" t="str">
            <v>イ</v>
          </cell>
          <cell r="AF1307">
            <v>15</v>
          </cell>
          <cell r="AK1307" t="str">
            <v>柘植川</v>
          </cell>
          <cell r="AL1307" t="str">
            <v>岡鼻取水口</v>
          </cell>
          <cell r="AM1307">
            <v>8.1</v>
          </cell>
          <cell r="AO1307" t="str">
            <v>伊賀市</v>
          </cell>
          <cell r="AQ1307" t="str">
            <v/>
          </cell>
          <cell r="AR1307" t="str">
            <v>土壌被覆型礫間接触法</v>
          </cell>
          <cell r="AS1307" t="str">
            <v>2421602004</v>
          </cell>
          <cell r="AT1307" t="str">
            <v/>
          </cell>
          <cell r="AU1307" t="str">
            <v>10</v>
          </cell>
          <cell r="AV1307" t="str">
            <v>10</v>
          </cell>
          <cell r="AW1307">
            <v>0</v>
          </cell>
          <cell r="AX1307">
            <v>0</v>
          </cell>
          <cell r="AY1307">
            <v>0</v>
          </cell>
          <cell r="AZ1307">
            <v>0</v>
          </cell>
          <cell r="BA1307">
            <v>0</v>
          </cell>
          <cell r="BD1307" t="str">
            <v/>
          </cell>
          <cell r="BE1307">
            <v>1</v>
          </cell>
          <cell r="BG1307" t="str">
            <v>1100</v>
          </cell>
        </row>
        <row r="1308">
          <cell r="B1308" t="str">
            <v>G242160206100500</v>
          </cell>
          <cell r="C1308" t="str">
            <v>24.三重県</v>
          </cell>
          <cell r="D1308" t="str">
            <v>216</v>
          </cell>
          <cell r="E1308" t="str">
            <v>伊賀市</v>
          </cell>
          <cell r="F1308" t="str">
            <v>02</v>
          </cell>
          <cell r="G1308" t="str">
            <v>特環 単独</v>
          </cell>
          <cell r="H1308" t="str">
            <v>特定環境保全公共下水道</v>
          </cell>
          <cell r="I1308" t="str">
            <v>単独</v>
          </cell>
          <cell r="J1308" t="str">
            <v>005</v>
          </cell>
          <cell r="K1308" t="str">
            <v>希望ヶ丘浄化センター</v>
          </cell>
          <cell r="M1308" t="str">
            <v>1</v>
          </cell>
          <cell r="N1308" t="str">
            <v>1</v>
          </cell>
          <cell r="Q1308">
            <v>39234</v>
          </cell>
          <cell r="R1308" t="str">
            <v>平成</v>
          </cell>
          <cell r="S1308">
            <v>19</v>
          </cell>
          <cell r="T1308">
            <v>6</v>
          </cell>
          <cell r="AB1308">
            <v>10084</v>
          </cell>
          <cell r="AC1308" t="str">
            <v>淀川水系木津川</v>
          </cell>
          <cell r="AD1308" t="str">
            <v>Ａ</v>
          </cell>
          <cell r="AE1308" t="str">
            <v>イ</v>
          </cell>
          <cell r="AF1308">
            <v>10</v>
          </cell>
          <cell r="AK1308" t="str">
            <v>滝川</v>
          </cell>
          <cell r="AL1308" t="str">
            <v>塚脇取水場</v>
          </cell>
          <cell r="AN1308">
            <v>1.8</v>
          </cell>
          <cell r="AO1308" t="str">
            <v>伊賀市</v>
          </cell>
          <cell r="AQ1308" t="str">
            <v/>
          </cell>
          <cell r="AR1308" t="str">
            <v>土壌被覆型礫間接触法</v>
          </cell>
          <cell r="AS1308" t="str">
            <v>2421602005</v>
          </cell>
          <cell r="AT1308" t="str">
            <v/>
          </cell>
          <cell r="AU1308" t="str">
            <v>10</v>
          </cell>
          <cell r="AV1308" t="str">
            <v>10</v>
          </cell>
          <cell r="AW1308">
            <v>0</v>
          </cell>
          <cell r="AX1308">
            <v>0</v>
          </cell>
          <cell r="AY1308">
            <v>0</v>
          </cell>
          <cell r="AZ1308">
            <v>0</v>
          </cell>
          <cell r="BA1308">
            <v>0</v>
          </cell>
          <cell r="BD1308" t="str">
            <v/>
          </cell>
          <cell r="BE1308">
            <v>1</v>
          </cell>
          <cell r="BG1308" t="str">
            <v>1100</v>
          </cell>
        </row>
        <row r="1309">
          <cell r="B1309" t="str">
            <v>G243030106100100</v>
          </cell>
          <cell r="C1309" t="str">
            <v>24.三重県</v>
          </cell>
          <cell r="D1309" t="str">
            <v>303</v>
          </cell>
          <cell r="E1309" t="str">
            <v>木曽岬町</v>
          </cell>
          <cell r="F1309" t="str">
            <v>01</v>
          </cell>
          <cell r="G1309" t="str">
            <v>公共 単独</v>
          </cell>
          <cell r="H1309" t="str">
            <v>公共下水道</v>
          </cell>
          <cell r="I1309" t="str">
            <v>単独</v>
          </cell>
          <cell r="J1309" t="str">
            <v>001</v>
          </cell>
          <cell r="K1309" t="str">
            <v>東部地区クリーンセンター</v>
          </cell>
          <cell r="M1309" t="str">
            <v>1</v>
          </cell>
          <cell r="N1309" t="str">
            <v>1</v>
          </cell>
          <cell r="Q1309">
            <v>34274</v>
          </cell>
          <cell r="R1309" t="str">
            <v>平成</v>
          </cell>
          <cell r="S1309">
            <v>5</v>
          </cell>
          <cell r="T1309">
            <v>11</v>
          </cell>
          <cell r="AB1309">
            <v>8121</v>
          </cell>
          <cell r="AC1309" t="str">
            <v>四日市・鈴鹿地先海域</v>
          </cell>
          <cell r="AD1309" t="str">
            <v>Ｂ</v>
          </cell>
          <cell r="AE1309" t="str">
            <v>イ</v>
          </cell>
          <cell r="AF1309">
            <v>20</v>
          </cell>
          <cell r="AK1309" t="str">
            <v>木曽川</v>
          </cell>
          <cell r="AQ1309" t="str">
            <v/>
          </cell>
          <cell r="AR1309" t="str">
            <v>回分式活性汚泥法</v>
          </cell>
          <cell r="AS1309" t="str">
            <v>2430301001</v>
          </cell>
          <cell r="AT1309" t="str">
            <v/>
          </cell>
          <cell r="AU1309" t="str">
            <v>10</v>
          </cell>
          <cell r="AV1309" t="str">
            <v>10</v>
          </cell>
          <cell r="AW1309">
            <v>0</v>
          </cell>
          <cell r="AX1309">
            <v>0</v>
          </cell>
          <cell r="AY1309">
            <v>0</v>
          </cell>
          <cell r="AZ1309">
            <v>0</v>
          </cell>
          <cell r="BA1309">
            <v>0</v>
          </cell>
          <cell r="BD1309" t="str">
            <v/>
          </cell>
          <cell r="BE1309">
            <v>1</v>
          </cell>
          <cell r="BG1309" t="str">
            <v>1100</v>
          </cell>
        </row>
        <row r="1310">
          <cell r="B1310" t="str">
            <v>G244420106100100</v>
          </cell>
          <cell r="C1310" t="str">
            <v>24.三重県</v>
          </cell>
          <cell r="D1310" t="str">
            <v>442</v>
          </cell>
          <cell r="E1310" t="str">
            <v>明和町</v>
          </cell>
          <cell r="F1310" t="str">
            <v>01</v>
          </cell>
          <cell r="G1310" t="str">
            <v>公共 単独</v>
          </cell>
          <cell r="H1310" t="str">
            <v>公共下水道</v>
          </cell>
          <cell r="I1310" t="str">
            <v>単独</v>
          </cell>
          <cell r="J1310" t="str">
            <v>001</v>
          </cell>
          <cell r="K1310" t="str">
            <v>明和浄化センター</v>
          </cell>
          <cell r="M1310" t="str">
            <v>1</v>
          </cell>
          <cell r="N1310" t="str">
            <v>1</v>
          </cell>
          <cell r="Q1310">
            <v>37681</v>
          </cell>
          <cell r="R1310" t="str">
            <v>平成</v>
          </cell>
          <cell r="S1310">
            <v>15</v>
          </cell>
          <cell r="T1310">
            <v>3</v>
          </cell>
          <cell r="AB1310">
            <v>5916</v>
          </cell>
          <cell r="AC1310" t="str">
            <v>笹笛川</v>
          </cell>
          <cell r="AD1310" t="str">
            <v>Ｂ</v>
          </cell>
          <cell r="AE1310" t="str">
            <v>イ</v>
          </cell>
          <cell r="AF1310">
            <v>15</v>
          </cell>
          <cell r="AJ1310" t="str">
            <v>笹笛川</v>
          </cell>
          <cell r="AQ1310" t="str">
            <v/>
          </cell>
          <cell r="AR1310" t="str">
            <v>オキシディションディッチ法</v>
          </cell>
          <cell r="AS1310" t="str">
            <v>2444201001</v>
          </cell>
          <cell r="AT1310" t="str">
            <v/>
          </cell>
          <cell r="AU1310" t="str">
            <v>10</v>
          </cell>
          <cell r="AV1310" t="str">
            <v>10</v>
          </cell>
          <cell r="AW1310">
            <v>0</v>
          </cell>
          <cell r="AX1310">
            <v>0</v>
          </cell>
          <cell r="AY1310">
            <v>0</v>
          </cell>
          <cell r="AZ1310">
            <v>0</v>
          </cell>
          <cell r="BA1310">
            <v>0</v>
          </cell>
          <cell r="BD1310" t="str">
            <v/>
          </cell>
          <cell r="BE1310">
            <v>1</v>
          </cell>
          <cell r="BG1310" t="str">
            <v>1100</v>
          </cell>
        </row>
        <row r="1311">
          <cell r="B1311" t="str">
            <v>G244430206100100</v>
          </cell>
          <cell r="C1311" t="str">
            <v>24.三重県</v>
          </cell>
          <cell r="D1311" t="str">
            <v>443</v>
          </cell>
          <cell r="E1311" t="str">
            <v>大台町</v>
          </cell>
          <cell r="F1311" t="str">
            <v>02</v>
          </cell>
          <cell r="G1311" t="str">
            <v>特環 単独</v>
          </cell>
          <cell r="H1311" t="str">
            <v>特定環境保全公共下水道</v>
          </cell>
          <cell r="I1311" t="str">
            <v>単独</v>
          </cell>
          <cell r="J1311" t="str">
            <v>001</v>
          </cell>
          <cell r="K1311" t="str">
            <v>クリーンピア宮川</v>
          </cell>
          <cell r="M1311" t="str">
            <v>1</v>
          </cell>
          <cell r="N1311" t="str">
            <v>1</v>
          </cell>
          <cell r="Q1311">
            <v>38078</v>
          </cell>
          <cell r="R1311" t="str">
            <v>平成</v>
          </cell>
          <cell r="S1311">
            <v>16</v>
          </cell>
          <cell r="T1311">
            <v>4</v>
          </cell>
          <cell r="AB1311">
            <v>8485</v>
          </cell>
          <cell r="AC1311" t="str">
            <v>宮川上流</v>
          </cell>
          <cell r="AD1311" t="str">
            <v>ＡＡ</v>
          </cell>
          <cell r="AE1311" t="str">
            <v>イ</v>
          </cell>
          <cell r="AK1311" t="str">
            <v>宮川</v>
          </cell>
          <cell r="AL1311" t="str">
            <v>宮川</v>
          </cell>
          <cell r="AQ1311" t="str">
            <v/>
          </cell>
          <cell r="AR1311" t="str">
            <v>オキシディションディッチ法</v>
          </cell>
          <cell r="AS1311" t="str">
            <v>2444302001</v>
          </cell>
          <cell r="AT1311" t="str">
            <v/>
          </cell>
          <cell r="AU1311" t="str">
            <v>10</v>
          </cell>
          <cell r="AV1311" t="str">
            <v>10</v>
          </cell>
          <cell r="AW1311">
            <v>0</v>
          </cell>
          <cell r="AX1311">
            <v>0</v>
          </cell>
          <cell r="AY1311">
            <v>0</v>
          </cell>
          <cell r="AZ1311">
            <v>0</v>
          </cell>
          <cell r="BA1311">
            <v>0</v>
          </cell>
          <cell r="BD1311" t="str">
            <v/>
          </cell>
          <cell r="BE1311">
            <v>1</v>
          </cell>
          <cell r="BG1311" t="str">
            <v>1100</v>
          </cell>
        </row>
        <row r="1312">
          <cell r="B1312" t="str">
            <v>G244610106100100</v>
          </cell>
          <cell r="C1312" t="str">
            <v>24.三重県</v>
          </cell>
          <cell r="D1312" t="str">
            <v>461</v>
          </cell>
          <cell r="E1312" t="str">
            <v>玉城町</v>
          </cell>
          <cell r="F1312" t="str">
            <v>01</v>
          </cell>
          <cell r="G1312" t="str">
            <v>公共 単独</v>
          </cell>
          <cell r="H1312" t="str">
            <v>公共下水道</v>
          </cell>
          <cell r="I1312" t="str">
            <v>単独</v>
          </cell>
          <cell r="J1312" t="str">
            <v>001</v>
          </cell>
          <cell r="K1312" t="str">
            <v>玉城浄化センター</v>
          </cell>
          <cell r="M1312" t="str">
            <v>1</v>
          </cell>
          <cell r="N1312" t="str">
            <v>1</v>
          </cell>
          <cell r="Q1312">
            <v>37712</v>
          </cell>
          <cell r="R1312" t="str">
            <v>平成</v>
          </cell>
          <cell r="S1312">
            <v>15</v>
          </cell>
          <cell r="T1312">
            <v>4</v>
          </cell>
          <cell r="AB1312">
            <v>7400</v>
          </cell>
          <cell r="AC1312" t="str">
            <v>伊勢湾</v>
          </cell>
          <cell r="AF1312">
            <v>15</v>
          </cell>
          <cell r="AJ1312" t="str">
            <v>外城田川</v>
          </cell>
          <cell r="AP1312" t="str">
            <v>H25.9廃止予定</v>
          </cell>
          <cell r="AQ1312" t="str">
            <v/>
          </cell>
          <cell r="AR1312" t="str">
            <v>オキシディションディッチ法</v>
          </cell>
          <cell r="AS1312" t="str">
            <v>2446101001</v>
          </cell>
          <cell r="AT1312" t="str">
            <v/>
          </cell>
          <cell r="AU1312" t="str">
            <v>10</v>
          </cell>
          <cell r="AV1312" t="str">
            <v>10</v>
          </cell>
          <cell r="AW1312">
            <v>0</v>
          </cell>
          <cell r="AX1312">
            <v>0</v>
          </cell>
          <cell r="AY1312">
            <v>0</v>
          </cell>
          <cell r="AZ1312">
            <v>0</v>
          </cell>
          <cell r="BA1312">
            <v>0</v>
          </cell>
          <cell r="BD1312" t="str">
            <v/>
          </cell>
          <cell r="BE1312">
            <v>0</v>
          </cell>
          <cell r="BF1312" t="str">
            <v>流域編入：廃止</v>
          </cell>
          <cell r="BG1312" t="str">
            <v>1100</v>
          </cell>
        </row>
        <row r="1313">
          <cell r="B1313" t="str">
            <v>G244720206100100</v>
          </cell>
          <cell r="C1313" t="str">
            <v>24.三重県</v>
          </cell>
          <cell r="D1313" t="str">
            <v>472</v>
          </cell>
          <cell r="E1313" t="str">
            <v>南伊勢町</v>
          </cell>
          <cell r="F1313" t="str">
            <v>02</v>
          </cell>
          <cell r="G1313" t="str">
            <v>特環 単独</v>
          </cell>
          <cell r="H1313" t="str">
            <v>特定環境保全公共下水道</v>
          </cell>
          <cell r="I1313" t="str">
            <v>単独</v>
          </cell>
          <cell r="J1313" t="str">
            <v>001</v>
          </cell>
          <cell r="K1313" t="str">
            <v>中津浜浦浄化センター</v>
          </cell>
          <cell r="M1313" t="str">
            <v>1</v>
          </cell>
          <cell r="N1313" t="str">
            <v>1</v>
          </cell>
          <cell r="O1313" t="str">
            <v>1</v>
          </cell>
          <cell r="Q1313">
            <v>34455</v>
          </cell>
          <cell r="R1313" t="str">
            <v>平成</v>
          </cell>
          <cell r="S1313">
            <v>6</v>
          </cell>
          <cell r="T1313">
            <v>5</v>
          </cell>
          <cell r="AB1313">
            <v>380</v>
          </cell>
          <cell r="AC1313" t="str">
            <v>五ヶ所湾</v>
          </cell>
          <cell r="AF1313">
            <v>15</v>
          </cell>
          <cell r="AG1313">
            <v>20</v>
          </cell>
          <cell r="AH1313">
            <v>3</v>
          </cell>
          <cell r="AI1313" t="str">
            <v>五ヶ所湾</v>
          </cell>
          <cell r="AQ1313" t="str">
            <v/>
          </cell>
          <cell r="AR1313" t="str">
            <v>好気性ろ床法</v>
          </cell>
          <cell r="AS1313" t="str">
            <v>2447202001</v>
          </cell>
          <cell r="AT1313" t="str">
            <v/>
          </cell>
          <cell r="AU1313" t="str">
            <v>11</v>
          </cell>
          <cell r="AV1313" t="str">
            <v>10</v>
          </cell>
          <cell r="AW1313">
            <v>0</v>
          </cell>
          <cell r="AX1313">
            <v>0</v>
          </cell>
          <cell r="AY1313">
            <v>-1</v>
          </cell>
          <cell r="AZ1313">
            <v>0</v>
          </cell>
          <cell r="BA1313">
            <v>1</v>
          </cell>
          <cell r="BC1313" t="str">
            <v>コンポスト休止</v>
          </cell>
          <cell r="BD1313" t="str">
            <v>コンポスト休止</v>
          </cell>
          <cell r="BE1313">
            <v>1</v>
          </cell>
          <cell r="BG1313" t="str">
            <v>1110</v>
          </cell>
        </row>
        <row r="1314">
          <cell r="B1314" t="str">
            <v>G244720206100200</v>
          </cell>
          <cell r="C1314" t="str">
            <v>24.三重県</v>
          </cell>
          <cell r="D1314" t="str">
            <v>472</v>
          </cell>
          <cell r="E1314" t="str">
            <v>南伊勢町</v>
          </cell>
          <cell r="F1314" t="str">
            <v>02</v>
          </cell>
          <cell r="G1314" t="str">
            <v>特環 単独</v>
          </cell>
          <cell r="H1314" t="str">
            <v>特定環境保全公共下水道</v>
          </cell>
          <cell r="I1314" t="str">
            <v>単独</v>
          </cell>
          <cell r="J1314" t="str">
            <v>002</v>
          </cell>
          <cell r="K1314" t="str">
            <v>船越浄化センター</v>
          </cell>
          <cell r="M1314" t="str">
            <v>1</v>
          </cell>
          <cell r="N1314" t="str">
            <v>1</v>
          </cell>
          <cell r="O1314" t="str">
            <v>1</v>
          </cell>
          <cell r="Q1314">
            <v>36617</v>
          </cell>
          <cell r="R1314" t="str">
            <v>平成</v>
          </cell>
          <cell r="S1314">
            <v>12</v>
          </cell>
          <cell r="T1314">
            <v>4</v>
          </cell>
          <cell r="AB1314">
            <v>4892</v>
          </cell>
          <cell r="AC1314" t="str">
            <v>五ヶ所湾</v>
          </cell>
          <cell r="AF1314">
            <v>10</v>
          </cell>
          <cell r="AG1314">
            <v>15</v>
          </cell>
          <cell r="AH1314">
            <v>1.5</v>
          </cell>
          <cell r="AI1314" t="str">
            <v>五ヶ所湾</v>
          </cell>
          <cell r="AQ1314" t="str">
            <v/>
          </cell>
          <cell r="AR1314" t="str">
            <v>嫌気好気活性汚泥法</v>
          </cell>
          <cell r="AS1314" t="str">
            <v>2447202002</v>
          </cell>
          <cell r="AT1314" t="str">
            <v/>
          </cell>
          <cell r="AU1314" t="str">
            <v>11</v>
          </cell>
          <cell r="AV1314" t="str">
            <v>10</v>
          </cell>
          <cell r="AW1314">
            <v>0</v>
          </cell>
          <cell r="AX1314">
            <v>0</v>
          </cell>
          <cell r="AY1314">
            <v>-1</v>
          </cell>
          <cell r="AZ1314">
            <v>0</v>
          </cell>
          <cell r="BA1314">
            <v>1</v>
          </cell>
          <cell r="BC1314" t="str">
            <v>コンポスト休止</v>
          </cell>
          <cell r="BD1314" t="str">
            <v>コンポスト休止</v>
          </cell>
          <cell r="BE1314">
            <v>1</v>
          </cell>
          <cell r="BG1314" t="str">
            <v>1110</v>
          </cell>
        </row>
        <row r="1315">
          <cell r="B1315" t="str">
            <v>G244720206100300</v>
          </cell>
          <cell r="C1315" t="str">
            <v>24.三重県</v>
          </cell>
          <cell r="D1315" t="str">
            <v>472</v>
          </cell>
          <cell r="E1315" t="str">
            <v>南伊勢町</v>
          </cell>
          <cell r="F1315" t="str">
            <v>02</v>
          </cell>
          <cell r="G1315" t="str">
            <v>特環 単独</v>
          </cell>
          <cell r="H1315" t="str">
            <v>特定環境保全公共下水道</v>
          </cell>
          <cell r="I1315" t="str">
            <v>単独</v>
          </cell>
          <cell r="J1315" t="str">
            <v>003</v>
          </cell>
          <cell r="K1315" t="str">
            <v>五ヶ所・切原・飯満浄化センター</v>
          </cell>
          <cell r="M1315" t="str">
            <v>1</v>
          </cell>
          <cell r="N1315" t="str">
            <v>1</v>
          </cell>
          <cell r="Q1315">
            <v>39539</v>
          </cell>
          <cell r="R1315" t="str">
            <v>平成</v>
          </cell>
          <cell r="S1315">
            <v>20</v>
          </cell>
          <cell r="T1315">
            <v>4</v>
          </cell>
          <cell r="AB1315">
            <v>6880</v>
          </cell>
          <cell r="AF1315">
            <v>10</v>
          </cell>
          <cell r="AG1315">
            <v>15</v>
          </cell>
          <cell r="AH1315">
            <v>1.5</v>
          </cell>
          <cell r="AI1315" t="str">
            <v>五ヶ所湾</v>
          </cell>
          <cell r="AQ1315" t="str">
            <v/>
          </cell>
          <cell r="AR1315" t="str">
            <v>長時間エアレーション法</v>
          </cell>
          <cell r="AS1315" t="str">
            <v>2447202003</v>
          </cell>
          <cell r="AT1315" t="str">
            <v/>
          </cell>
          <cell r="AU1315" t="str">
            <v>10</v>
          </cell>
          <cell r="AV1315" t="str">
            <v>10</v>
          </cell>
          <cell r="AW1315">
            <v>0</v>
          </cell>
          <cell r="AX1315">
            <v>0</v>
          </cell>
          <cell r="AY1315">
            <v>0</v>
          </cell>
          <cell r="AZ1315">
            <v>0</v>
          </cell>
          <cell r="BA1315">
            <v>0</v>
          </cell>
          <cell r="BD1315" t="str">
            <v/>
          </cell>
          <cell r="BE1315">
            <v>1</v>
          </cell>
          <cell r="BG1315" t="str">
            <v>1100</v>
          </cell>
        </row>
        <row r="1316">
          <cell r="B1316" t="str">
            <v>G245610206100100</v>
          </cell>
          <cell r="C1316" t="str">
            <v>24.三重県</v>
          </cell>
          <cell r="D1316" t="str">
            <v>561</v>
          </cell>
          <cell r="E1316" t="str">
            <v>御浜町</v>
          </cell>
          <cell r="F1316" t="str">
            <v>02</v>
          </cell>
          <cell r="G1316" t="str">
            <v>特環 単独</v>
          </cell>
          <cell r="H1316" t="str">
            <v>特定環境保全公共下水道</v>
          </cell>
          <cell r="I1316" t="str">
            <v>単独</v>
          </cell>
          <cell r="J1316" t="str">
            <v>001</v>
          </cell>
          <cell r="K1316" t="str">
            <v>阿田和クリーンセンター</v>
          </cell>
          <cell r="M1316" t="str">
            <v>1</v>
          </cell>
          <cell r="N1316" t="str">
            <v>1</v>
          </cell>
          <cell r="Q1316">
            <v>36800</v>
          </cell>
          <cell r="R1316" t="str">
            <v>平成</v>
          </cell>
          <cell r="S1316">
            <v>12</v>
          </cell>
          <cell r="T1316">
            <v>10</v>
          </cell>
          <cell r="AB1316">
            <v>15000</v>
          </cell>
          <cell r="AC1316" t="str">
            <v>二級河川尾呂志川</v>
          </cell>
          <cell r="AD1316" t="str">
            <v>ＡＡ</v>
          </cell>
          <cell r="AE1316" t="str">
            <v>イ</v>
          </cell>
          <cell r="AF1316">
            <v>15</v>
          </cell>
          <cell r="AJ1316" t="str">
            <v>尾呂志川</v>
          </cell>
          <cell r="AQ1316" t="str">
            <v/>
          </cell>
          <cell r="AR1316" t="str">
            <v>オキシディションディッチ法</v>
          </cell>
          <cell r="AS1316" t="str">
            <v>2456102001</v>
          </cell>
          <cell r="AT1316" t="str">
            <v/>
          </cell>
          <cell r="AU1316" t="str">
            <v>10</v>
          </cell>
          <cell r="AV1316" t="str">
            <v>10</v>
          </cell>
          <cell r="AW1316">
            <v>0</v>
          </cell>
          <cell r="AX1316">
            <v>0</v>
          </cell>
          <cell r="AY1316">
            <v>0</v>
          </cell>
          <cell r="AZ1316">
            <v>0</v>
          </cell>
          <cell r="BA1316">
            <v>0</v>
          </cell>
          <cell r="BD1316" t="str">
            <v/>
          </cell>
          <cell r="BE1316">
            <v>1</v>
          </cell>
          <cell r="BG1316" t="str">
            <v>1100</v>
          </cell>
        </row>
        <row r="1317">
          <cell r="B1317" t="str">
            <v>G250018106100100</v>
          </cell>
          <cell r="C1317" t="str">
            <v>25.滋賀県</v>
          </cell>
          <cell r="D1317" t="str">
            <v>001</v>
          </cell>
          <cell r="E1317" t="str">
            <v>琵琶湖流域</v>
          </cell>
          <cell r="F1317" t="str">
            <v>81</v>
          </cell>
          <cell r="G1317" t="str">
            <v>流域</v>
          </cell>
          <cell r="H1317" t="str">
            <v>流域下水道</v>
          </cell>
          <cell r="I1317" t="str">
            <v/>
          </cell>
          <cell r="J1317" t="str">
            <v>001</v>
          </cell>
          <cell r="K1317" t="str">
            <v>湖南中部浄化センター</v>
          </cell>
          <cell r="M1317" t="str">
            <v>1</v>
          </cell>
          <cell r="N1317" t="str">
            <v>1</v>
          </cell>
          <cell r="O1317" t="str">
            <v>1</v>
          </cell>
          <cell r="P1317" t="str">
            <v>1</v>
          </cell>
          <cell r="Q1317">
            <v>30042</v>
          </cell>
          <cell r="R1317" t="str">
            <v>昭和</v>
          </cell>
          <cell r="S1317">
            <v>57</v>
          </cell>
          <cell r="T1317">
            <v>4</v>
          </cell>
          <cell r="AB1317">
            <v>637000</v>
          </cell>
          <cell r="AC1317" t="str">
            <v>琵琶湖</v>
          </cell>
          <cell r="AD1317" t="str">
            <v>ＡＡ</v>
          </cell>
          <cell r="AE1317" t="str">
            <v>ハ</v>
          </cell>
          <cell r="AF1317">
            <v>4.8</v>
          </cell>
          <cell r="AG1317">
            <v>10</v>
          </cell>
          <cell r="AH1317">
            <v>0.5</v>
          </cell>
          <cell r="AK1317" t="str">
            <v>琵琶湖</v>
          </cell>
          <cell r="AQ1317" t="str">
            <v/>
          </cell>
          <cell r="AR1317" t="str">
            <v>循環式硝化脱窒法</v>
          </cell>
          <cell r="AS1317" t="str">
            <v>2500181001</v>
          </cell>
          <cell r="AT1317" t="str">
            <v/>
          </cell>
          <cell r="AU1317" t="str">
            <v>11</v>
          </cell>
          <cell r="AV1317" t="str">
            <v>11</v>
          </cell>
          <cell r="AW1317">
            <v>1</v>
          </cell>
          <cell r="AX1317">
            <v>0</v>
          </cell>
          <cell r="AY1317">
            <v>0</v>
          </cell>
          <cell r="AZ1317">
            <v>0</v>
          </cell>
          <cell r="BA1317">
            <v>0</v>
          </cell>
          <cell r="BD1317" t="str">
            <v/>
          </cell>
          <cell r="BE1317">
            <v>1</v>
          </cell>
          <cell r="BG1317" t="str">
            <v>1111</v>
          </cell>
        </row>
        <row r="1318">
          <cell r="B1318" t="str">
            <v>G250018106100200</v>
          </cell>
          <cell r="C1318" t="str">
            <v>25.滋賀県</v>
          </cell>
          <cell r="D1318" t="str">
            <v>001</v>
          </cell>
          <cell r="E1318" t="str">
            <v>琵琶湖流域</v>
          </cell>
          <cell r="F1318" t="str">
            <v>81</v>
          </cell>
          <cell r="G1318" t="str">
            <v>流域</v>
          </cell>
          <cell r="H1318" t="str">
            <v>流域下水道</v>
          </cell>
          <cell r="I1318" t="str">
            <v/>
          </cell>
          <cell r="J1318" t="str">
            <v>002</v>
          </cell>
          <cell r="K1318" t="str">
            <v>湖西浄化センター</v>
          </cell>
          <cell r="M1318" t="str">
            <v>1</v>
          </cell>
          <cell r="N1318" t="str">
            <v>1</v>
          </cell>
          <cell r="O1318" t="str">
            <v>1</v>
          </cell>
          <cell r="P1318" t="str">
            <v>1</v>
          </cell>
          <cell r="Q1318">
            <v>30987</v>
          </cell>
          <cell r="R1318" t="str">
            <v>昭和</v>
          </cell>
          <cell r="S1318">
            <v>59</v>
          </cell>
          <cell r="T1318">
            <v>11</v>
          </cell>
          <cell r="AB1318">
            <v>111000</v>
          </cell>
          <cell r="AC1318" t="str">
            <v>琵琶湖</v>
          </cell>
          <cell r="AD1318" t="str">
            <v>ＡＡ</v>
          </cell>
          <cell r="AE1318" t="str">
            <v>ハ</v>
          </cell>
          <cell r="AF1318">
            <v>5</v>
          </cell>
          <cell r="AG1318">
            <v>10</v>
          </cell>
          <cell r="AH1318">
            <v>0.5</v>
          </cell>
          <cell r="AK1318" t="str">
            <v>琵琶湖</v>
          </cell>
          <cell r="AQ1318" t="str">
            <v/>
          </cell>
          <cell r="AR1318" t="str">
            <v>ステップ流入式多段硝化脱窒法</v>
          </cell>
          <cell r="AS1318" t="str">
            <v>2500181002</v>
          </cell>
          <cell r="AT1318" t="str">
            <v/>
          </cell>
          <cell r="AU1318" t="str">
            <v>11</v>
          </cell>
          <cell r="AV1318" t="str">
            <v>11</v>
          </cell>
          <cell r="AW1318">
            <v>1</v>
          </cell>
          <cell r="AX1318">
            <v>0</v>
          </cell>
          <cell r="AY1318">
            <v>0</v>
          </cell>
          <cell r="AZ1318">
            <v>0</v>
          </cell>
          <cell r="BA1318">
            <v>0</v>
          </cell>
          <cell r="BD1318" t="str">
            <v/>
          </cell>
          <cell r="BE1318">
            <v>1</v>
          </cell>
          <cell r="BG1318" t="str">
            <v>1111</v>
          </cell>
        </row>
        <row r="1319">
          <cell r="B1319" t="str">
            <v>G250018106100300</v>
          </cell>
          <cell r="C1319" t="str">
            <v>25.滋賀県</v>
          </cell>
          <cell r="D1319" t="str">
            <v>001</v>
          </cell>
          <cell r="E1319" t="str">
            <v>琵琶湖流域</v>
          </cell>
          <cell r="F1319" t="str">
            <v>81</v>
          </cell>
          <cell r="G1319" t="str">
            <v>流域</v>
          </cell>
          <cell r="H1319" t="str">
            <v>流域下水道</v>
          </cell>
          <cell r="I1319" t="str">
            <v/>
          </cell>
          <cell r="J1319" t="str">
            <v>003</v>
          </cell>
          <cell r="K1319" t="str">
            <v>東北部浄化センター</v>
          </cell>
          <cell r="M1319" t="str">
            <v>1</v>
          </cell>
          <cell r="N1319" t="str">
            <v>1</v>
          </cell>
          <cell r="O1319" t="str">
            <v>1</v>
          </cell>
          <cell r="Q1319">
            <v>33329</v>
          </cell>
          <cell r="R1319" t="str">
            <v>平成</v>
          </cell>
          <cell r="S1319">
            <v>3</v>
          </cell>
          <cell r="T1319">
            <v>4</v>
          </cell>
          <cell r="AB1319">
            <v>641000</v>
          </cell>
          <cell r="AC1319" t="str">
            <v>琵琶湖</v>
          </cell>
          <cell r="AD1319" t="str">
            <v>ＡＡ</v>
          </cell>
          <cell r="AE1319" t="str">
            <v>イ</v>
          </cell>
          <cell r="AF1319">
            <v>5</v>
          </cell>
          <cell r="AG1319">
            <v>5</v>
          </cell>
          <cell r="AH1319">
            <v>0.5</v>
          </cell>
          <cell r="AK1319" t="str">
            <v>琵琶湖</v>
          </cell>
          <cell r="AQ1319" t="str">
            <v/>
          </cell>
          <cell r="AR1319" t="str">
            <v>ステップ流入式多段硝化脱窒法</v>
          </cell>
          <cell r="AS1319" t="str">
            <v>2500181003</v>
          </cell>
          <cell r="AT1319" t="str">
            <v/>
          </cell>
          <cell r="AU1319" t="str">
            <v>11</v>
          </cell>
          <cell r="AV1319" t="str">
            <v>11</v>
          </cell>
          <cell r="AW1319">
            <v>0</v>
          </cell>
          <cell r="AX1319">
            <v>0</v>
          </cell>
          <cell r="AY1319">
            <v>0</v>
          </cell>
          <cell r="AZ1319">
            <v>0</v>
          </cell>
          <cell r="BA1319">
            <v>0</v>
          </cell>
          <cell r="BD1319" t="str">
            <v/>
          </cell>
          <cell r="BE1319">
            <v>1</v>
          </cell>
          <cell r="BG1319" t="str">
            <v>1110</v>
          </cell>
        </row>
        <row r="1320">
          <cell r="B1320" t="str">
            <v>G250018106100400</v>
          </cell>
          <cell r="C1320" t="str">
            <v>25.滋賀県</v>
          </cell>
          <cell r="D1320" t="str">
            <v>001</v>
          </cell>
          <cell r="E1320" t="str">
            <v>琵琶湖流域</v>
          </cell>
          <cell r="F1320" t="str">
            <v>81</v>
          </cell>
          <cell r="G1320" t="str">
            <v>流域</v>
          </cell>
          <cell r="H1320" t="str">
            <v>流域下水道</v>
          </cell>
          <cell r="I1320" t="str">
            <v/>
          </cell>
          <cell r="J1320" t="str">
            <v>004</v>
          </cell>
          <cell r="K1320" t="str">
            <v>高島浄化センター</v>
          </cell>
          <cell r="M1320" t="str">
            <v>1</v>
          </cell>
          <cell r="N1320" t="str">
            <v>1</v>
          </cell>
          <cell r="Q1320">
            <v>35521</v>
          </cell>
          <cell r="R1320" t="str">
            <v>平成</v>
          </cell>
          <cell r="S1320">
            <v>9</v>
          </cell>
          <cell r="T1320">
            <v>4</v>
          </cell>
          <cell r="AB1320">
            <v>75000</v>
          </cell>
          <cell r="AC1320" t="str">
            <v>琵琶湖</v>
          </cell>
          <cell r="AD1320" t="str">
            <v>ＡＡ</v>
          </cell>
          <cell r="AE1320" t="str">
            <v>イ</v>
          </cell>
          <cell r="AF1320">
            <v>10</v>
          </cell>
          <cell r="AG1320">
            <v>15</v>
          </cell>
          <cell r="AH1320">
            <v>0.5</v>
          </cell>
          <cell r="AK1320" t="str">
            <v>琵琶湖</v>
          </cell>
          <cell r="AQ1320" t="str">
            <v/>
          </cell>
          <cell r="AR1320" t="str">
            <v>ステップ流入式多段硝化脱窒法</v>
          </cell>
          <cell r="AS1320" t="str">
            <v>2500181004</v>
          </cell>
          <cell r="AT1320" t="str">
            <v/>
          </cell>
          <cell r="AU1320" t="str">
            <v>10</v>
          </cell>
          <cell r="AV1320" t="str">
            <v>10</v>
          </cell>
          <cell r="AW1320">
            <v>0</v>
          </cell>
          <cell r="AX1320">
            <v>0</v>
          </cell>
          <cell r="AY1320">
            <v>0</v>
          </cell>
          <cell r="AZ1320">
            <v>0</v>
          </cell>
          <cell r="BA1320">
            <v>0</v>
          </cell>
          <cell r="BD1320" t="str">
            <v/>
          </cell>
          <cell r="BE1320">
            <v>1</v>
          </cell>
          <cell r="BG1320" t="str">
            <v>1100</v>
          </cell>
        </row>
        <row r="1321">
          <cell r="B1321" t="str">
            <v>G252010106100100</v>
          </cell>
          <cell r="C1321" t="str">
            <v>25.滋賀県</v>
          </cell>
          <cell r="D1321" t="str">
            <v>201</v>
          </cell>
          <cell r="E1321" t="str">
            <v>大津市</v>
          </cell>
          <cell r="F1321" t="str">
            <v>01</v>
          </cell>
          <cell r="G1321" t="str">
            <v>公共 単独</v>
          </cell>
          <cell r="H1321" t="str">
            <v>公共下水道</v>
          </cell>
          <cell r="I1321" t="str">
            <v>単独</v>
          </cell>
          <cell r="J1321" t="str">
            <v>001</v>
          </cell>
          <cell r="K1321" t="str">
            <v>大津終末処理場</v>
          </cell>
          <cell r="M1321" t="str">
            <v>1</v>
          </cell>
          <cell r="N1321" t="str">
            <v>1</v>
          </cell>
          <cell r="P1321" t="str">
            <v>1</v>
          </cell>
          <cell r="Q1321">
            <v>25294</v>
          </cell>
          <cell r="R1321" t="str">
            <v>昭和</v>
          </cell>
          <cell r="S1321">
            <v>44</v>
          </cell>
          <cell r="T1321">
            <v>4</v>
          </cell>
          <cell r="AB1321">
            <v>28957</v>
          </cell>
          <cell r="AC1321" t="str">
            <v>琵琶湖南湖</v>
          </cell>
          <cell r="AD1321" t="str">
            <v>ＡＡ</v>
          </cell>
          <cell r="AE1321" t="str">
            <v>ハ</v>
          </cell>
          <cell r="AF1321">
            <v>10</v>
          </cell>
          <cell r="AG1321">
            <v>10</v>
          </cell>
          <cell r="AH1321">
            <v>1</v>
          </cell>
          <cell r="AK1321" t="str">
            <v>琵琶湖(南湖)</v>
          </cell>
          <cell r="AL1321" t="str">
            <v>新瀬田、膳所</v>
          </cell>
          <cell r="AN1321">
            <v>1</v>
          </cell>
          <cell r="AO1321" t="str">
            <v>大津市</v>
          </cell>
          <cell r="AQ1321" t="str">
            <v/>
          </cell>
          <cell r="AR1321" t="str">
            <v>循環式硝化脱窒法</v>
          </cell>
          <cell r="AS1321" t="str">
            <v>2520101001</v>
          </cell>
          <cell r="AT1321" t="str">
            <v/>
          </cell>
          <cell r="AU1321" t="str">
            <v>10</v>
          </cell>
          <cell r="AV1321" t="str">
            <v>10</v>
          </cell>
          <cell r="AW1321">
            <v>1</v>
          </cell>
          <cell r="AX1321">
            <v>0</v>
          </cell>
          <cell r="AY1321">
            <v>0</v>
          </cell>
          <cell r="AZ1321">
            <v>0</v>
          </cell>
          <cell r="BA1321">
            <v>0</v>
          </cell>
          <cell r="BD1321" t="str">
            <v/>
          </cell>
          <cell r="BE1321">
            <v>1</v>
          </cell>
          <cell r="BG1321" t="str">
            <v>1101</v>
          </cell>
        </row>
        <row r="1322">
          <cell r="B1322" t="str">
            <v>G252040206100100</v>
          </cell>
          <cell r="C1322" t="str">
            <v>25.滋賀県</v>
          </cell>
          <cell r="D1322" t="str">
            <v>204</v>
          </cell>
          <cell r="E1322" t="str">
            <v>近江八幡市</v>
          </cell>
          <cell r="F1322" t="str">
            <v>02</v>
          </cell>
          <cell r="G1322" t="str">
            <v>特環 単独</v>
          </cell>
          <cell r="H1322" t="str">
            <v>特定環境保全公共下水道</v>
          </cell>
          <cell r="I1322" t="str">
            <v>単独</v>
          </cell>
          <cell r="J1322" t="str">
            <v>001</v>
          </cell>
          <cell r="K1322" t="str">
            <v>沖島浄化センター</v>
          </cell>
          <cell r="M1322" t="str">
            <v>1</v>
          </cell>
          <cell r="N1322" t="str">
            <v>1</v>
          </cell>
          <cell r="O1322" t="str">
            <v>1</v>
          </cell>
          <cell r="Q1322">
            <v>30133</v>
          </cell>
          <cell r="R1322" t="str">
            <v>昭和</v>
          </cell>
          <cell r="S1322">
            <v>57</v>
          </cell>
          <cell r="T1322">
            <v>7</v>
          </cell>
          <cell r="AB1322">
            <v>2104</v>
          </cell>
          <cell r="AC1322" t="str">
            <v>琵琶湖湖沼</v>
          </cell>
          <cell r="AD1322" t="str">
            <v>ＡＡ</v>
          </cell>
          <cell r="AE1322" t="str">
            <v>イ</v>
          </cell>
          <cell r="AF1322">
            <v>15</v>
          </cell>
          <cell r="AG1322">
            <v>15</v>
          </cell>
          <cell r="AH1322">
            <v>1</v>
          </cell>
          <cell r="AI1322" t="str">
            <v>琵琶湖</v>
          </cell>
          <cell r="AQ1322" t="str">
            <v/>
          </cell>
          <cell r="AR1322" t="str">
            <v>高度処理オキシディションディッチ法</v>
          </cell>
          <cell r="AS1322" t="str">
            <v>2520402001</v>
          </cell>
          <cell r="AT1322" t="str">
            <v/>
          </cell>
          <cell r="AU1322" t="str">
            <v>11</v>
          </cell>
          <cell r="AV1322" t="str">
            <v>11</v>
          </cell>
          <cell r="AW1322">
            <v>0</v>
          </cell>
          <cell r="AX1322">
            <v>0</v>
          </cell>
          <cell r="AY1322">
            <v>0</v>
          </cell>
          <cell r="AZ1322">
            <v>0</v>
          </cell>
          <cell r="BA1322">
            <v>0</v>
          </cell>
          <cell r="BD1322" t="str">
            <v/>
          </cell>
          <cell r="BE1322">
            <v>1</v>
          </cell>
          <cell r="BG1322" t="str">
            <v>1110</v>
          </cell>
        </row>
        <row r="1323">
          <cell r="B1323" t="str">
            <v>G252090106100100</v>
          </cell>
          <cell r="C1323" t="str">
            <v>25.滋賀県</v>
          </cell>
          <cell r="D1323" t="str">
            <v>209</v>
          </cell>
          <cell r="E1323" t="str">
            <v>甲賀市</v>
          </cell>
          <cell r="F1323" t="str">
            <v>01</v>
          </cell>
          <cell r="G1323" t="str">
            <v>公共 単独</v>
          </cell>
          <cell r="H1323" t="str">
            <v>公共下水道</v>
          </cell>
          <cell r="I1323" t="str">
            <v>単独</v>
          </cell>
          <cell r="J1323" t="str">
            <v>001</v>
          </cell>
          <cell r="K1323" t="str">
            <v>甲賀市土山オーデュブール</v>
          </cell>
          <cell r="M1323" t="str">
            <v>1</v>
          </cell>
          <cell r="N1323" t="str">
            <v>1</v>
          </cell>
          <cell r="Q1323">
            <v>35490</v>
          </cell>
          <cell r="R1323" t="str">
            <v>平成</v>
          </cell>
          <cell r="S1323">
            <v>9</v>
          </cell>
          <cell r="T1323">
            <v>3</v>
          </cell>
          <cell r="AB1323">
            <v>16192</v>
          </cell>
          <cell r="AC1323" t="str">
            <v>琵琶湖</v>
          </cell>
          <cell r="AD1323" t="str">
            <v>ＡＡ</v>
          </cell>
          <cell r="AE1323" t="str">
            <v>イ</v>
          </cell>
          <cell r="AF1323">
            <v>5</v>
          </cell>
          <cell r="AG1323">
            <v>10</v>
          </cell>
          <cell r="AH1323">
            <v>0.5</v>
          </cell>
          <cell r="AI1323" t="str">
            <v>琵琶湖</v>
          </cell>
          <cell r="AK1323" t="str">
            <v>稲川</v>
          </cell>
          <cell r="AL1323" t="str">
            <v>野洲川</v>
          </cell>
          <cell r="AN1323">
            <v>2</v>
          </cell>
          <cell r="AO1323" t="str">
            <v>甲賀市</v>
          </cell>
          <cell r="AQ1323" t="str">
            <v/>
          </cell>
          <cell r="AR1323" t="str">
            <v>高度処理オキシディションディッチ法</v>
          </cell>
          <cell r="AS1323" t="str">
            <v>2520901001</v>
          </cell>
          <cell r="AT1323" t="str">
            <v/>
          </cell>
          <cell r="AU1323" t="str">
            <v>10</v>
          </cell>
          <cell r="AV1323" t="str">
            <v>10</v>
          </cell>
          <cell r="AW1323">
            <v>0</v>
          </cell>
          <cell r="AX1323">
            <v>0</v>
          </cell>
          <cell r="AY1323">
            <v>0</v>
          </cell>
          <cell r="AZ1323">
            <v>0</v>
          </cell>
          <cell r="BA1323">
            <v>0</v>
          </cell>
          <cell r="BD1323" t="str">
            <v/>
          </cell>
          <cell r="BE1323">
            <v>1</v>
          </cell>
          <cell r="BG1323" t="str">
            <v>1100</v>
          </cell>
        </row>
        <row r="1324">
          <cell r="B1324" t="str">
            <v>G252090106100200</v>
          </cell>
          <cell r="C1324" t="str">
            <v>25.滋賀県</v>
          </cell>
          <cell r="D1324" t="str">
            <v>209</v>
          </cell>
          <cell r="E1324" t="str">
            <v>甲賀市</v>
          </cell>
          <cell r="F1324" t="str">
            <v>01</v>
          </cell>
          <cell r="G1324" t="str">
            <v>公共 単独</v>
          </cell>
          <cell r="H1324" t="str">
            <v>公共下水道</v>
          </cell>
          <cell r="I1324" t="str">
            <v>単独</v>
          </cell>
          <cell r="J1324" t="str">
            <v>002</v>
          </cell>
          <cell r="K1324" t="str">
            <v>甲賀市信楽水再生センター</v>
          </cell>
          <cell r="M1324" t="str">
            <v>1</v>
          </cell>
          <cell r="N1324" t="str">
            <v>1</v>
          </cell>
          <cell r="Q1324">
            <v>39508</v>
          </cell>
          <cell r="R1324" t="str">
            <v>平成</v>
          </cell>
          <cell r="S1324">
            <v>20</v>
          </cell>
          <cell r="T1324">
            <v>3</v>
          </cell>
          <cell r="AB1324">
            <v>33500</v>
          </cell>
          <cell r="AC1324" t="str">
            <v>大戸川</v>
          </cell>
          <cell r="AD1324" t="str">
            <v>ＡＡ</v>
          </cell>
          <cell r="AE1324" t="str">
            <v>イ</v>
          </cell>
          <cell r="AF1324">
            <v>9</v>
          </cell>
          <cell r="AG1324">
            <v>10</v>
          </cell>
          <cell r="AH1324">
            <v>0.5</v>
          </cell>
          <cell r="AK1324" t="str">
            <v>大戸川</v>
          </cell>
          <cell r="AL1324" t="str">
            <v>大戸川</v>
          </cell>
          <cell r="AM1324">
            <v>3</v>
          </cell>
          <cell r="AO1324" t="str">
            <v>甲賀市</v>
          </cell>
          <cell r="AQ1324" t="str">
            <v/>
          </cell>
          <cell r="AR1324" t="str">
            <v>高度処理オキシディションディッチ法</v>
          </cell>
          <cell r="AS1324" t="str">
            <v>2520901002</v>
          </cell>
          <cell r="AT1324" t="str">
            <v/>
          </cell>
          <cell r="AU1324" t="str">
            <v>10</v>
          </cell>
          <cell r="AV1324" t="str">
            <v>10</v>
          </cell>
          <cell r="AW1324">
            <v>0</v>
          </cell>
          <cell r="AX1324">
            <v>0</v>
          </cell>
          <cell r="AY1324">
            <v>0</v>
          </cell>
          <cell r="AZ1324">
            <v>0</v>
          </cell>
          <cell r="BA1324">
            <v>0</v>
          </cell>
          <cell r="BD1324" t="str">
            <v/>
          </cell>
          <cell r="BE1324">
            <v>1</v>
          </cell>
          <cell r="BG1324" t="str">
            <v>1100</v>
          </cell>
        </row>
        <row r="1325">
          <cell r="B1325" t="str">
            <v>G252120206100100</v>
          </cell>
          <cell r="C1325" t="str">
            <v>25.滋賀県</v>
          </cell>
          <cell r="D1325" t="str">
            <v>212</v>
          </cell>
          <cell r="E1325" t="str">
            <v>高島市</v>
          </cell>
          <cell r="F1325" t="str">
            <v>02</v>
          </cell>
          <cell r="G1325" t="str">
            <v>特環 単独</v>
          </cell>
          <cell r="H1325" t="str">
            <v>特定環境保全公共下水道</v>
          </cell>
          <cell r="I1325" t="str">
            <v>単独</v>
          </cell>
          <cell r="J1325" t="str">
            <v>001</v>
          </cell>
          <cell r="K1325" t="str">
            <v>朽木浄化センター</v>
          </cell>
          <cell r="M1325" t="str">
            <v>1</v>
          </cell>
          <cell r="N1325" t="str">
            <v>1</v>
          </cell>
          <cell r="Q1325">
            <v>35704</v>
          </cell>
          <cell r="R1325" t="str">
            <v>平成</v>
          </cell>
          <cell r="S1325">
            <v>9</v>
          </cell>
          <cell r="T1325">
            <v>10</v>
          </cell>
          <cell r="AB1325">
            <v>7700</v>
          </cell>
          <cell r="AC1325" t="str">
            <v>安曇川</v>
          </cell>
          <cell r="AD1325" t="str">
            <v>ＡＡ</v>
          </cell>
          <cell r="AE1325" t="str">
            <v>イ</v>
          </cell>
          <cell r="AF1325">
            <v>10</v>
          </cell>
          <cell r="AG1325">
            <v>10</v>
          </cell>
          <cell r="AH1325">
            <v>0.5</v>
          </cell>
          <cell r="AK1325" t="str">
            <v>安曇川</v>
          </cell>
          <cell r="AQ1325" t="str">
            <v/>
          </cell>
          <cell r="AR1325" t="str">
            <v>嫌気好気活性汚泥法</v>
          </cell>
          <cell r="AS1325" t="str">
            <v>2521202001</v>
          </cell>
          <cell r="AT1325" t="str">
            <v/>
          </cell>
          <cell r="AU1325" t="str">
            <v>10</v>
          </cell>
          <cell r="AV1325" t="str">
            <v>10</v>
          </cell>
          <cell r="AW1325">
            <v>0</v>
          </cell>
          <cell r="AX1325">
            <v>0</v>
          </cell>
          <cell r="AY1325">
            <v>0</v>
          </cell>
          <cell r="AZ1325">
            <v>0</v>
          </cell>
          <cell r="BA1325">
            <v>0</v>
          </cell>
          <cell r="BD1325" t="str">
            <v/>
          </cell>
          <cell r="BE1325">
            <v>1</v>
          </cell>
          <cell r="BG1325" t="str">
            <v>1100</v>
          </cell>
        </row>
        <row r="1326">
          <cell r="B1326" t="str">
            <v>G260018106100100</v>
          </cell>
          <cell r="C1326" t="str">
            <v>26.京都府</v>
          </cell>
          <cell r="D1326" t="str">
            <v>001</v>
          </cell>
          <cell r="E1326" t="str">
            <v>桂川右岸流域</v>
          </cell>
          <cell r="F1326" t="str">
            <v>81</v>
          </cell>
          <cell r="G1326" t="str">
            <v>流域</v>
          </cell>
          <cell r="H1326" t="str">
            <v>流域下水道</v>
          </cell>
          <cell r="I1326" t="str">
            <v/>
          </cell>
          <cell r="J1326" t="str">
            <v>001</v>
          </cell>
          <cell r="K1326" t="str">
            <v>洛西浄化センター</v>
          </cell>
          <cell r="M1326" t="str">
            <v>1</v>
          </cell>
          <cell r="N1326" t="str">
            <v>1</v>
          </cell>
          <cell r="P1326" t="str">
            <v>1</v>
          </cell>
          <cell r="Q1326">
            <v>29146</v>
          </cell>
          <cell r="R1326" t="str">
            <v>昭和</v>
          </cell>
          <cell r="S1326">
            <v>54</v>
          </cell>
          <cell r="T1326">
            <v>10</v>
          </cell>
          <cell r="AB1326">
            <v>173000</v>
          </cell>
          <cell r="AC1326" t="str">
            <v>桂川下流２</v>
          </cell>
          <cell r="AD1326" t="str">
            <v>Ｂ</v>
          </cell>
          <cell r="AE1326" t="str">
            <v>ロ</v>
          </cell>
          <cell r="AF1326">
            <v>10</v>
          </cell>
          <cell r="AG1326">
            <v>12</v>
          </cell>
          <cell r="AH1326">
            <v>1.7</v>
          </cell>
          <cell r="AK1326" t="str">
            <v>桂川</v>
          </cell>
          <cell r="AN1326">
            <v>4.5</v>
          </cell>
          <cell r="AO1326" t="str">
            <v>大阪市</v>
          </cell>
          <cell r="AQ1326" t="str">
            <v/>
          </cell>
          <cell r="AR1326" t="str">
            <v>循環式硝化脱窒法</v>
          </cell>
          <cell r="AS1326" t="str">
            <v>2600181001</v>
          </cell>
          <cell r="AT1326" t="str">
            <v/>
          </cell>
          <cell r="AU1326" t="str">
            <v>10</v>
          </cell>
          <cell r="AV1326" t="str">
            <v>10</v>
          </cell>
          <cell r="AW1326">
            <v>1</v>
          </cell>
          <cell r="AX1326">
            <v>0</v>
          </cell>
          <cell r="AY1326">
            <v>0</v>
          </cell>
          <cell r="AZ1326">
            <v>0</v>
          </cell>
          <cell r="BA1326">
            <v>0</v>
          </cell>
          <cell r="BD1326" t="str">
            <v/>
          </cell>
          <cell r="BE1326">
            <v>1</v>
          </cell>
          <cell r="BG1326" t="str">
            <v>1101</v>
          </cell>
        </row>
        <row r="1327">
          <cell r="B1327" t="str">
            <v>G260028106100100</v>
          </cell>
          <cell r="C1327" t="str">
            <v>26.京都府</v>
          </cell>
          <cell r="D1327" t="str">
            <v>002</v>
          </cell>
          <cell r="E1327" t="str">
            <v>木津川流域</v>
          </cell>
          <cell r="F1327" t="str">
            <v>81</v>
          </cell>
          <cell r="G1327" t="str">
            <v>流域</v>
          </cell>
          <cell r="H1327" t="str">
            <v>流域下水道</v>
          </cell>
          <cell r="I1327" t="str">
            <v/>
          </cell>
          <cell r="J1327" t="str">
            <v>001</v>
          </cell>
          <cell r="K1327" t="str">
            <v>洛南浄化センター</v>
          </cell>
          <cell r="M1327" t="str">
            <v>1</v>
          </cell>
          <cell r="N1327" t="str">
            <v>1</v>
          </cell>
          <cell r="O1327" t="str">
            <v>1</v>
          </cell>
          <cell r="Q1327">
            <v>31502</v>
          </cell>
          <cell r="R1327" t="str">
            <v>昭和</v>
          </cell>
          <cell r="S1327">
            <v>61</v>
          </cell>
          <cell r="T1327">
            <v>3</v>
          </cell>
          <cell r="AB1327">
            <v>202660</v>
          </cell>
          <cell r="AC1327" t="str">
            <v>宇治川（2）</v>
          </cell>
          <cell r="AD1327" t="str">
            <v>Ｂ</v>
          </cell>
          <cell r="AE1327" t="str">
            <v>ハ</v>
          </cell>
          <cell r="AF1327">
            <v>10</v>
          </cell>
          <cell r="AG1327">
            <v>16</v>
          </cell>
          <cell r="AH1327">
            <v>2.2000000000000002</v>
          </cell>
          <cell r="AK1327" t="str">
            <v>宇治川</v>
          </cell>
          <cell r="AL1327" t="str">
            <v>大阪市</v>
          </cell>
          <cell r="AN1327">
            <v>3.5</v>
          </cell>
          <cell r="AO1327" t="str">
            <v>大阪市</v>
          </cell>
          <cell r="AQ1327" t="str">
            <v/>
          </cell>
          <cell r="AR1327" t="str">
            <v>循環式硝化脱窒法</v>
          </cell>
          <cell r="AS1327" t="str">
            <v>2600281001</v>
          </cell>
          <cell r="AT1327" t="str">
            <v/>
          </cell>
          <cell r="AU1327" t="str">
            <v>11</v>
          </cell>
          <cell r="AV1327" t="str">
            <v>11</v>
          </cell>
          <cell r="AW1327">
            <v>0</v>
          </cell>
          <cell r="AX1327">
            <v>0</v>
          </cell>
          <cell r="AY1327">
            <v>0</v>
          </cell>
          <cell r="AZ1327">
            <v>0</v>
          </cell>
          <cell r="BA1327">
            <v>0</v>
          </cell>
          <cell r="BD1327" t="str">
            <v/>
          </cell>
          <cell r="BE1327">
            <v>1</v>
          </cell>
          <cell r="BG1327" t="str">
            <v>1110</v>
          </cell>
        </row>
        <row r="1328">
          <cell r="B1328" t="str">
            <v>G260038106100100</v>
          </cell>
          <cell r="C1328" t="str">
            <v>26.京都府</v>
          </cell>
          <cell r="D1328" t="str">
            <v>003</v>
          </cell>
          <cell r="E1328" t="str">
            <v>木津川上流流域</v>
          </cell>
          <cell r="F1328" t="str">
            <v>81</v>
          </cell>
          <cell r="G1328" t="str">
            <v>流域</v>
          </cell>
          <cell r="H1328" t="str">
            <v>流域下水道</v>
          </cell>
          <cell r="I1328" t="str">
            <v/>
          </cell>
          <cell r="J1328" t="str">
            <v>001</v>
          </cell>
          <cell r="K1328" t="str">
            <v>木津川上流浄化センター</v>
          </cell>
          <cell r="M1328" t="str">
            <v>1</v>
          </cell>
          <cell r="N1328" t="str">
            <v>1</v>
          </cell>
          <cell r="Q1328">
            <v>36465</v>
          </cell>
          <cell r="R1328" t="str">
            <v>平成</v>
          </cell>
          <cell r="S1328">
            <v>11</v>
          </cell>
          <cell r="T1328">
            <v>11</v>
          </cell>
          <cell r="AB1328">
            <v>95060</v>
          </cell>
          <cell r="AC1328" t="str">
            <v>木津川(3)</v>
          </cell>
          <cell r="AD1328" t="str">
            <v>Ａ</v>
          </cell>
          <cell r="AE1328" t="str">
            <v>イ</v>
          </cell>
          <cell r="AF1328">
            <v>10</v>
          </cell>
          <cell r="AG1328">
            <v>19</v>
          </cell>
          <cell r="AH1328">
            <v>1.1000000000000001</v>
          </cell>
          <cell r="AK1328" t="str">
            <v>木津川</v>
          </cell>
          <cell r="AL1328" t="str">
            <v>京田辺第１・第２</v>
          </cell>
          <cell r="AN1328">
            <v>8</v>
          </cell>
          <cell r="AO1328" t="str">
            <v>京田辺市</v>
          </cell>
          <cell r="AQ1328" t="str">
            <v/>
          </cell>
          <cell r="AR1328" t="str">
            <v>循環式硝化脱窒法</v>
          </cell>
          <cell r="AS1328" t="str">
            <v>2600381001</v>
          </cell>
          <cell r="AT1328" t="str">
            <v/>
          </cell>
          <cell r="AU1328" t="str">
            <v>10</v>
          </cell>
          <cell r="AV1328" t="str">
            <v>10</v>
          </cell>
          <cell r="AW1328">
            <v>0</v>
          </cell>
          <cell r="AX1328">
            <v>0</v>
          </cell>
          <cell r="AY1328">
            <v>0</v>
          </cell>
          <cell r="AZ1328">
            <v>0</v>
          </cell>
          <cell r="BA1328">
            <v>0</v>
          </cell>
          <cell r="BD1328" t="str">
            <v/>
          </cell>
          <cell r="BE1328">
            <v>1</v>
          </cell>
          <cell r="BG1328" t="str">
            <v>1100</v>
          </cell>
        </row>
        <row r="1329">
          <cell r="B1329" t="str">
            <v>G260048106100100</v>
          </cell>
          <cell r="C1329" t="str">
            <v>26.京都府</v>
          </cell>
          <cell r="D1329" t="str">
            <v>004</v>
          </cell>
          <cell r="E1329" t="str">
            <v>宮津湾流域</v>
          </cell>
          <cell r="F1329" t="str">
            <v>81</v>
          </cell>
          <cell r="G1329" t="str">
            <v>流域</v>
          </cell>
          <cell r="H1329" t="str">
            <v>流域下水道</v>
          </cell>
          <cell r="I1329" t="str">
            <v/>
          </cell>
          <cell r="J1329" t="str">
            <v>001</v>
          </cell>
          <cell r="K1329" t="str">
            <v>宮津湾浄化センター</v>
          </cell>
          <cell r="M1329" t="str">
            <v>1</v>
          </cell>
          <cell r="N1329" t="str">
            <v>1</v>
          </cell>
          <cell r="P1329" t="str">
            <v>1</v>
          </cell>
          <cell r="Q1329">
            <v>34059</v>
          </cell>
          <cell r="R1329" t="str">
            <v>平成</v>
          </cell>
          <cell r="S1329">
            <v>5</v>
          </cell>
          <cell r="T1329">
            <v>3</v>
          </cell>
          <cell r="AB1329">
            <v>30100</v>
          </cell>
          <cell r="AC1329" t="str">
            <v>宮津湾</v>
          </cell>
          <cell r="AD1329" t="str">
            <v>Ａ</v>
          </cell>
          <cell r="AE1329" t="str">
            <v>ロ</v>
          </cell>
          <cell r="AF1329">
            <v>15</v>
          </cell>
          <cell r="AI1329" t="str">
            <v>宮津湾</v>
          </cell>
          <cell r="AQ1329" t="str">
            <v/>
          </cell>
          <cell r="AR1329" t="str">
            <v>標準活性汚泥法</v>
          </cell>
          <cell r="AS1329" t="str">
            <v>2600481001</v>
          </cell>
          <cell r="AT1329" t="str">
            <v/>
          </cell>
          <cell r="AU1329" t="str">
            <v>10</v>
          </cell>
          <cell r="AV1329" t="str">
            <v>10</v>
          </cell>
          <cell r="AW1329">
            <v>1</v>
          </cell>
          <cell r="AX1329">
            <v>0</v>
          </cell>
          <cell r="AY1329">
            <v>0</v>
          </cell>
          <cell r="AZ1329">
            <v>0</v>
          </cell>
          <cell r="BA1329">
            <v>0</v>
          </cell>
          <cell r="BD1329" t="str">
            <v/>
          </cell>
          <cell r="BE1329">
            <v>1</v>
          </cell>
          <cell r="BG1329" t="str">
            <v>1101</v>
          </cell>
        </row>
        <row r="1330">
          <cell r="B1330" t="str">
            <v>G260058106100100</v>
          </cell>
          <cell r="C1330" t="str">
            <v>26.京都府</v>
          </cell>
          <cell r="D1330" t="str">
            <v>005</v>
          </cell>
          <cell r="E1330" t="str">
            <v>桂川中流流域</v>
          </cell>
          <cell r="F1330" t="str">
            <v>81</v>
          </cell>
          <cell r="G1330" t="str">
            <v>流域</v>
          </cell>
          <cell r="H1330" t="str">
            <v>流域下水道</v>
          </cell>
          <cell r="I1330" t="str">
            <v/>
          </cell>
          <cell r="J1330" t="str">
            <v>001</v>
          </cell>
          <cell r="K1330" t="str">
            <v>南丹浄化センター</v>
          </cell>
          <cell r="M1330" t="str">
            <v>1</v>
          </cell>
          <cell r="N1330" t="str">
            <v>1</v>
          </cell>
          <cell r="P1330" t="str">
            <v>1</v>
          </cell>
          <cell r="Q1330">
            <v>36250</v>
          </cell>
          <cell r="R1330" t="str">
            <v>平成</v>
          </cell>
          <cell r="S1330">
            <v>11</v>
          </cell>
          <cell r="T1330">
            <v>3</v>
          </cell>
          <cell r="AB1330">
            <v>29000</v>
          </cell>
          <cell r="AC1330" t="str">
            <v>淀川流域</v>
          </cell>
          <cell r="AD1330" t="str">
            <v>Ａ</v>
          </cell>
          <cell r="AE1330" t="str">
            <v>イ</v>
          </cell>
          <cell r="AF1330">
            <v>5</v>
          </cell>
          <cell r="AG1330">
            <v>8</v>
          </cell>
          <cell r="AH1330">
            <v>0.8</v>
          </cell>
          <cell r="AK1330" t="str">
            <v>桂川</v>
          </cell>
          <cell r="AL1330" t="str">
            <v>八木町簡易水道浄水場</v>
          </cell>
          <cell r="AM1330">
            <v>3</v>
          </cell>
          <cell r="AO1330" t="str">
            <v>南丹市</v>
          </cell>
          <cell r="AQ1330" t="str">
            <v/>
          </cell>
          <cell r="AR1330" t="str">
            <v>循環式硝化脱窒法</v>
          </cell>
          <cell r="AS1330" t="str">
            <v>2600581001</v>
          </cell>
          <cell r="AT1330" t="str">
            <v/>
          </cell>
          <cell r="AU1330" t="str">
            <v>10</v>
          </cell>
          <cell r="AV1330" t="str">
            <v>10</v>
          </cell>
          <cell r="AW1330">
            <v>1</v>
          </cell>
          <cell r="AX1330">
            <v>0</v>
          </cell>
          <cell r="AY1330">
            <v>0</v>
          </cell>
          <cell r="AZ1330">
            <v>0</v>
          </cell>
          <cell r="BA1330">
            <v>0</v>
          </cell>
          <cell r="BD1330" t="str">
            <v/>
          </cell>
          <cell r="BE1330">
            <v>1</v>
          </cell>
          <cell r="BG1330" t="str">
            <v>1101</v>
          </cell>
        </row>
        <row r="1331">
          <cell r="B1331" t="str">
            <v>G261000106100100</v>
          </cell>
          <cell r="C1331" t="str">
            <v>26.京都府</v>
          </cell>
          <cell r="D1331" t="str">
            <v>100</v>
          </cell>
          <cell r="E1331" t="str">
            <v>京都市</v>
          </cell>
          <cell r="F1331" t="str">
            <v>01</v>
          </cell>
          <cell r="G1331" t="str">
            <v>公共 単独</v>
          </cell>
          <cell r="H1331" t="str">
            <v>公共下水道</v>
          </cell>
          <cell r="I1331" t="str">
            <v>単独</v>
          </cell>
          <cell r="J1331" t="str">
            <v>001</v>
          </cell>
          <cell r="K1331" t="str">
            <v>吉祥院水環境保全センター</v>
          </cell>
          <cell r="M1331" t="str">
            <v>1</v>
          </cell>
          <cell r="Q1331">
            <v>12510</v>
          </cell>
          <cell r="R1331" t="str">
            <v>昭和</v>
          </cell>
          <cell r="S1331">
            <v>9</v>
          </cell>
          <cell r="T1331">
            <v>4</v>
          </cell>
          <cell r="U1331" t="str">
            <v>名称変更</v>
          </cell>
          <cell r="V1331">
            <v>41365</v>
          </cell>
          <cell r="W1331" t="str">
            <v>平成</v>
          </cell>
          <cell r="X1331">
            <v>25</v>
          </cell>
          <cell r="Y1331">
            <v>4</v>
          </cell>
          <cell r="Z1331" t="str">
            <v>吉祥院水環境保全センター</v>
          </cell>
          <cell r="AB1331">
            <v>29000</v>
          </cell>
          <cell r="AC1331" t="str">
            <v>鴨川下流</v>
          </cell>
          <cell r="AD1331" t="str">
            <v>Ａ</v>
          </cell>
          <cell r="AE1331" t="str">
            <v>イ</v>
          </cell>
          <cell r="AF1331">
            <v>10</v>
          </cell>
          <cell r="AG1331">
            <v>12.5</v>
          </cell>
          <cell r="AH1331">
            <v>2.1</v>
          </cell>
          <cell r="AK1331" t="str">
            <v>西高瀬川</v>
          </cell>
          <cell r="AL1331" t="str">
            <v>大阪（樟葉）</v>
          </cell>
          <cell r="AN1331">
            <v>13</v>
          </cell>
          <cell r="AO1331" t="str">
            <v>大阪市</v>
          </cell>
          <cell r="AQ1331" t="str">
            <v/>
          </cell>
          <cell r="AR1331" t="str">
            <v>酸素活性汚泥法</v>
          </cell>
          <cell r="AS1331" t="str">
            <v>2610001001</v>
          </cell>
          <cell r="AT1331" t="str">
            <v/>
          </cell>
          <cell r="AU1331" t="str">
            <v>00</v>
          </cell>
          <cell r="AV1331" t="str">
            <v>00</v>
          </cell>
          <cell r="AW1331">
            <v>0</v>
          </cell>
          <cell r="AX1331">
            <v>0</v>
          </cell>
          <cell r="AY1331">
            <v>0</v>
          </cell>
          <cell r="AZ1331">
            <v>0</v>
          </cell>
          <cell r="BA1331">
            <v>0</v>
          </cell>
          <cell r="BD1331" t="str">
            <v/>
          </cell>
          <cell r="BE1331">
            <v>1</v>
          </cell>
          <cell r="BG1331" t="str">
            <v>1000</v>
          </cell>
        </row>
        <row r="1332">
          <cell r="B1332" t="str">
            <v>G261000106100200</v>
          </cell>
          <cell r="C1332" t="str">
            <v>26.京都府</v>
          </cell>
          <cell r="D1332" t="str">
            <v>100</v>
          </cell>
          <cell r="E1332" t="str">
            <v>京都市</v>
          </cell>
          <cell r="F1332" t="str">
            <v>01</v>
          </cell>
          <cell r="G1332" t="str">
            <v>公共 単独</v>
          </cell>
          <cell r="H1332" t="str">
            <v>公共下水道</v>
          </cell>
          <cell r="I1332" t="str">
            <v>単独</v>
          </cell>
          <cell r="J1332" t="str">
            <v>002</v>
          </cell>
          <cell r="K1332" t="str">
            <v>鳥羽水環境保全センター</v>
          </cell>
          <cell r="M1332" t="str">
            <v>1</v>
          </cell>
          <cell r="N1332" t="str">
            <v>1</v>
          </cell>
          <cell r="O1332" t="str">
            <v>1</v>
          </cell>
          <cell r="P1332" t="str">
            <v>1</v>
          </cell>
          <cell r="Q1332">
            <v>14336</v>
          </cell>
          <cell r="R1332" t="str">
            <v>昭和</v>
          </cell>
          <cell r="S1332">
            <v>14</v>
          </cell>
          <cell r="T1332">
            <v>4</v>
          </cell>
          <cell r="AB1332">
            <v>460460</v>
          </cell>
          <cell r="AC1332" t="str">
            <v>桂川，鴨川下流</v>
          </cell>
          <cell r="AD1332" t="str">
            <v>Ａ</v>
          </cell>
          <cell r="AE1332" t="str">
            <v>イ</v>
          </cell>
          <cell r="AF1332">
            <v>10</v>
          </cell>
          <cell r="AG1332">
            <v>12.5</v>
          </cell>
          <cell r="AH1332">
            <v>2.1</v>
          </cell>
          <cell r="AK1332" t="str">
            <v>西高瀬川，桂川</v>
          </cell>
          <cell r="AL1332" t="str">
            <v>大阪市（樟葉）</v>
          </cell>
          <cell r="AN1332">
            <v>11</v>
          </cell>
          <cell r="AO1332" t="str">
            <v>大阪市</v>
          </cell>
          <cell r="AQ1332" t="str">
            <v/>
          </cell>
          <cell r="AR1332" t="str">
            <v>標準活性汚泥法</v>
          </cell>
          <cell r="AS1332" t="str">
            <v>2610001002</v>
          </cell>
          <cell r="AT1332" t="str">
            <v/>
          </cell>
          <cell r="AU1332" t="str">
            <v>11</v>
          </cell>
          <cell r="AV1332" t="str">
            <v>11</v>
          </cell>
          <cell r="AW1332">
            <v>1</v>
          </cell>
          <cell r="AX1332">
            <v>0</v>
          </cell>
          <cell r="AY1332">
            <v>0</v>
          </cell>
          <cell r="AZ1332">
            <v>0</v>
          </cell>
          <cell r="BA1332">
            <v>0</v>
          </cell>
          <cell r="BD1332" t="str">
            <v/>
          </cell>
          <cell r="BE1332">
            <v>1</v>
          </cell>
          <cell r="BG1332" t="str">
            <v>1111</v>
          </cell>
        </row>
        <row r="1333">
          <cell r="B1333" t="str">
            <v>G261000106100300</v>
          </cell>
          <cell r="C1333" t="str">
            <v>26.京都府</v>
          </cell>
          <cell r="D1333" t="str">
            <v>100</v>
          </cell>
          <cell r="E1333" t="str">
            <v>京都市</v>
          </cell>
          <cell r="F1333" t="str">
            <v>01</v>
          </cell>
          <cell r="G1333" t="str">
            <v>公共 単独</v>
          </cell>
          <cell r="H1333" t="str">
            <v>公共下水道</v>
          </cell>
          <cell r="I1333" t="str">
            <v>単独</v>
          </cell>
          <cell r="J1333" t="str">
            <v>003</v>
          </cell>
          <cell r="K1333" t="str">
            <v>伏見水環境保全センター</v>
          </cell>
          <cell r="M1333" t="str">
            <v>1</v>
          </cell>
          <cell r="N1333" t="str">
            <v>1</v>
          </cell>
          <cell r="Q1333">
            <v>26724</v>
          </cell>
          <cell r="R1333" t="str">
            <v>昭和</v>
          </cell>
          <cell r="S1333">
            <v>48</v>
          </cell>
          <cell r="T1333">
            <v>3</v>
          </cell>
          <cell r="AB1333">
            <v>134220</v>
          </cell>
          <cell r="AC1333" t="str">
            <v>宇治川</v>
          </cell>
          <cell r="AD1333" t="str">
            <v>Ｂ</v>
          </cell>
          <cell r="AE1333" t="str">
            <v>ハ</v>
          </cell>
          <cell r="AF1333">
            <v>10</v>
          </cell>
          <cell r="AG1333">
            <v>12.5</v>
          </cell>
          <cell r="AH1333">
            <v>2.1</v>
          </cell>
          <cell r="AK1333" t="str">
            <v>宇治川</v>
          </cell>
          <cell r="AL1333" t="str">
            <v>新山科浄水場宇治川取水口</v>
          </cell>
          <cell r="AM1333">
            <v>4</v>
          </cell>
          <cell r="AO1333" t="str">
            <v>京都市</v>
          </cell>
          <cell r="AQ1333" t="str">
            <v/>
          </cell>
          <cell r="AR1333" t="str">
            <v>嫌気好気活性汚泥法</v>
          </cell>
          <cell r="AS1333" t="str">
            <v>2610001003</v>
          </cell>
          <cell r="AT1333" t="str">
            <v/>
          </cell>
          <cell r="AU1333" t="str">
            <v>10</v>
          </cell>
          <cell r="AV1333" t="str">
            <v>10</v>
          </cell>
          <cell r="AW1333">
            <v>0</v>
          </cell>
          <cell r="AX1333">
            <v>0</v>
          </cell>
          <cell r="AY1333">
            <v>0</v>
          </cell>
          <cell r="AZ1333">
            <v>0</v>
          </cell>
          <cell r="BA1333">
            <v>0</v>
          </cell>
          <cell r="BD1333" t="str">
            <v/>
          </cell>
          <cell r="BE1333">
            <v>1</v>
          </cell>
          <cell r="BG1333" t="str">
            <v>1100</v>
          </cell>
        </row>
        <row r="1334">
          <cell r="B1334" t="str">
            <v>G261000106100400</v>
          </cell>
          <cell r="C1334" t="str">
            <v>26.京都府</v>
          </cell>
          <cell r="D1334" t="str">
            <v>100</v>
          </cell>
          <cell r="E1334" t="str">
            <v>京都市</v>
          </cell>
          <cell r="F1334" t="str">
            <v>01</v>
          </cell>
          <cell r="G1334" t="str">
            <v>公共 単独</v>
          </cell>
          <cell r="H1334" t="str">
            <v>公共下水道</v>
          </cell>
          <cell r="I1334" t="str">
            <v>単独</v>
          </cell>
          <cell r="J1334" t="str">
            <v>004</v>
          </cell>
          <cell r="K1334" t="str">
            <v>石田水環境保全センター</v>
          </cell>
          <cell r="M1334" t="str">
            <v>1</v>
          </cell>
          <cell r="N1334" t="str">
            <v>1</v>
          </cell>
          <cell r="Q1334">
            <v>29587</v>
          </cell>
          <cell r="R1334" t="str">
            <v>昭和</v>
          </cell>
          <cell r="S1334">
            <v>56</v>
          </cell>
          <cell r="T1334">
            <v>1</v>
          </cell>
          <cell r="AB1334">
            <v>87593</v>
          </cell>
          <cell r="AC1334" t="str">
            <v>宇治川</v>
          </cell>
          <cell r="AD1334" t="str">
            <v>Ｂ</v>
          </cell>
          <cell r="AE1334" t="str">
            <v>ハ</v>
          </cell>
          <cell r="AF1334">
            <v>10</v>
          </cell>
          <cell r="AG1334">
            <v>12.5</v>
          </cell>
          <cell r="AH1334">
            <v>2.1</v>
          </cell>
          <cell r="AK1334" t="str">
            <v>山科川</v>
          </cell>
          <cell r="AL1334" t="str">
            <v>大阪市（樟葉）</v>
          </cell>
          <cell r="AN1334">
            <v>14</v>
          </cell>
          <cell r="AO1334" t="str">
            <v>大阪市</v>
          </cell>
          <cell r="AQ1334" t="str">
            <v/>
          </cell>
          <cell r="AR1334" t="str">
            <v>標準活性汚泥法</v>
          </cell>
          <cell r="AS1334" t="str">
            <v>2610001004</v>
          </cell>
          <cell r="AT1334" t="str">
            <v/>
          </cell>
          <cell r="AU1334" t="str">
            <v>10</v>
          </cell>
          <cell r="AV1334" t="str">
            <v>10</v>
          </cell>
          <cell r="AW1334">
            <v>0</v>
          </cell>
          <cell r="AX1334">
            <v>0</v>
          </cell>
          <cell r="AY1334">
            <v>0</v>
          </cell>
          <cell r="AZ1334">
            <v>0</v>
          </cell>
          <cell r="BA1334">
            <v>0</v>
          </cell>
          <cell r="BD1334" t="str">
            <v/>
          </cell>
          <cell r="BE1334">
            <v>1</v>
          </cell>
          <cell r="BG1334" t="str">
            <v>1100</v>
          </cell>
        </row>
        <row r="1335">
          <cell r="B1335" t="str">
            <v>G261000206100500</v>
          </cell>
          <cell r="C1335" t="str">
            <v>26.京都府</v>
          </cell>
          <cell r="D1335" t="str">
            <v>100</v>
          </cell>
          <cell r="E1335" t="str">
            <v>京都市</v>
          </cell>
          <cell r="F1335" t="str">
            <v>02</v>
          </cell>
          <cell r="G1335" t="str">
            <v>特環 単独</v>
          </cell>
          <cell r="H1335" t="str">
            <v>特定環境保全公共下水道</v>
          </cell>
          <cell r="I1335" t="str">
            <v>単独</v>
          </cell>
          <cell r="J1335" t="str">
            <v>005</v>
          </cell>
          <cell r="K1335" t="str">
            <v>京北浄化センター</v>
          </cell>
          <cell r="M1335" t="str">
            <v>1</v>
          </cell>
          <cell r="N1335" t="str">
            <v>1</v>
          </cell>
          <cell r="Q1335">
            <v>36616</v>
          </cell>
          <cell r="R1335" t="str">
            <v>平成</v>
          </cell>
          <cell r="S1335">
            <v>12</v>
          </cell>
          <cell r="T1335">
            <v>3</v>
          </cell>
          <cell r="AB1335">
            <v>10400</v>
          </cell>
          <cell r="AC1335" t="str">
            <v>桂川上流</v>
          </cell>
          <cell r="AD1335" t="str">
            <v>Ａ</v>
          </cell>
          <cell r="AE1335" t="str">
            <v>イ</v>
          </cell>
          <cell r="AF1335">
            <v>20</v>
          </cell>
          <cell r="AG1335">
            <v>60</v>
          </cell>
          <cell r="AH1335">
            <v>8</v>
          </cell>
          <cell r="AK1335" t="str">
            <v>桂川</v>
          </cell>
          <cell r="AL1335" t="str">
            <v>京北中部簡易水道</v>
          </cell>
          <cell r="AM1335">
            <v>7.5</v>
          </cell>
          <cell r="AO1335" t="str">
            <v>京都市（京北地域）</v>
          </cell>
          <cell r="AQ1335" t="str">
            <v/>
          </cell>
          <cell r="AR1335" t="str">
            <v>オキシディションディッチ法</v>
          </cell>
          <cell r="AS1335" t="str">
            <v>2610002005</v>
          </cell>
          <cell r="AT1335" t="str">
            <v/>
          </cell>
          <cell r="AU1335" t="str">
            <v>10</v>
          </cell>
          <cell r="AV1335" t="str">
            <v>10</v>
          </cell>
          <cell r="AW1335">
            <v>0</v>
          </cell>
          <cell r="AX1335">
            <v>0</v>
          </cell>
          <cell r="AY1335">
            <v>0</v>
          </cell>
          <cell r="AZ1335">
            <v>0</v>
          </cell>
          <cell r="BA1335">
            <v>0</v>
          </cell>
          <cell r="BD1335" t="str">
            <v/>
          </cell>
          <cell r="BE1335">
            <v>1</v>
          </cell>
          <cell r="BG1335" t="str">
            <v>1100</v>
          </cell>
        </row>
        <row r="1336">
          <cell r="B1336" t="str">
            <v>G262010106100100</v>
          </cell>
          <cell r="C1336" t="str">
            <v>26.京都府</v>
          </cell>
          <cell r="D1336" t="str">
            <v>201</v>
          </cell>
          <cell r="E1336" t="str">
            <v>福知山市</v>
          </cell>
          <cell r="F1336" t="str">
            <v>01</v>
          </cell>
          <cell r="G1336" t="str">
            <v>公共 単独</v>
          </cell>
          <cell r="H1336" t="str">
            <v>公共下水道</v>
          </cell>
          <cell r="I1336" t="str">
            <v>単独</v>
          </cell>
          <cell r="J1336" t="str">
            <v>001</v>
          </cell>
          <cell r="K1336" t="str">
            <v>福知山終末処理場</v>
          </cell>
          <cell r="M1336" t="str">
            <v>1</v>
          </cell>
          <cell r="N1336" t="str">
            <v>1</v>
          </cell>
          <cell r="Q1336">
            <v>24412</v>
          </cell>
          <cell r="R1336" t="str">
            <v>昭和</v>
          </cell>
          <cell r="S1336">
            <v>41</v>
          </cell>
          <cell r="T1336">
            <v>11</v>
          </cell>
          <cell r="AB1336">
            <v>91900</v>
          </cell>
          <cell r="AC1336" t="str">
            <v>由良川下流</v>
          </cell>
          <cell r="AD1336" t="str">
            <v>Ａ</v>
          </cell>
          <cell r="AE1336" t="str">
            <v>イ</v>
          </cell>
          <cell r="AF1336">
            <v>15</v>
          </cell>
          <cell r="AG1336">
            <v>12</v>
          </cell>
          <cell r="AH1336">
            <v>1.4</v>
          </cell>
          <cell r="AI1336" t="str">
            <v>和久川</v>
          </cell>
          <cell r="AK1336" t="str">
            <v>由良川</v>
          </cell>
          <cell r="AL1336" t="str">
            <v>二箇取水場</v>
          </cell>
          <cell r="AN1336">
            <v>17.899999999999999</v>
          </cell>
          <cell r="AO1336" t="str">
            <v>舞鶴市</v>
          </cell>
          <cell r="AQ1336" t="str">
            <v/>
          </cell>
          <cell r="AR1336" t="str">
            <v>標準活性汚泥法</v>
          </cell>
          <cell r="AS1336" t="str">
            <v>2620101001</v>
          </cell>
          <cell r="AT1336" t="str">
            <v/>
          </cell>
          <cell r="AU1336" t="str">
            <v>10</v>
          </cell>
          <cell r="AV1336" t="str">
            <v>10</v>
          </cell>
          <cell r="AW1336">
            <v>0</v>
          </cell>
          <cell r="AX1336">
            <v>0</v>
          </cell>
          <cell r="AY1336">
            <v>0</v>
          </cell>
          <cell r="AZ1336">
            <v>0</v>
          </cell>
          <cell r="BA1336">
            <v>0</v>
          </cell>
          <cell r="BD1336" t="str">
            <v/>
          </cell>
          <cell r="BE1336">
            <v>1</v>
          </cell>
          <cell r="BG1336" t="str">
            <v>1100</v>
          </cell>
        </row>
        <row r="1337">
          <cell r="B1337" t="str">
            <v>G262010206100200</v>
          </cell>
          <cell r="C1337" t="str">
            <v>26.京都府</v>
          </cell>
          <cell r="D1337" t="str">
            <v>201</v>
          </cell>
          <cell r="E1337" t="str">
            <v>福知山市</v>
          </cell>
          <cell r="F1337" t="str">
            <v>02</v>
          </cell>
          <cell r="G1337" t="str">
            <v>特環 単独</v>
          </cell>
          <cell r="H1337" t="str">
            <v>特定環境保全公共下水道</v>
          </cell>
          <cell r="I1337" t="str">
            <v>単独</v>
          </cell>
          <cell r="J1337" t="str">
            <v>002</v>
          </cell>
          <cell r="K1337" t="str">
            <v>三和浄化センター</v>
          </cell>
          <cell r="M1337" t="str">
            <v>1</v>
          </cell>
          <cell r="N1337" t="str">
            <v>1</v>
          </cell>
          <cell r="Q1337">
            <v>35855</v>
          </cell>
          <cell r="R1337" t="str">
            <v>平成</v>
          </cell>
          <cell r="S1337">
            <v>10</v>
          </cell>
          <cell r="T1337">
            <v>3</v>
          </cell>
          <cell r="AB1337">
            <v>5500</v>
          </cell>
          <cell r="AC1337" t="str">
            <v>由良川下流</v>
          </cell>
          <cell r="AD1337" t="str">
            <v>Ａ</v>
          </cell>
          <cell r="AE1337" t="str">
            <v>イ</v>
          </cell>
          <cell r="AF1337">
            <v>15</v>
          </cell>
          <cell r="AG1337">
            <v>12</v>
          </cell>
          <cell r="AH1337">
            <v>2.2000000000000002</v>
          </cell>
          <cell r="AI1337" t="str">
            <v>寺尾川</v>
          </cell>
          <cell r="AK1337" t="str">
            <v>土師川</v>
          </cell>
          <cell r="AL1337" t="str">
            <v>堀第1水源</v>
          </cell>
          <cell r="AN1337">
            <v>13.8</v>
          </cell>
          <cell r="AO1337" t="str">
            <v>福知山市</v>
          </cell>
          <cell r="AQ1337" t="str">
            <v/>
          </cell>
          <cell r="AR1337" t="str">
            <v>オキシディションディッチ法</v>
          </cell>
          <cell r="AS1337" t="str">
            <v>2620102002</v>
          </cell>
          <cell r="AT1337" t="str">
            <v/>
          </cell>
          <cell r="AU1337" t="str">
            <v>10</v>
          </cell>
          <cell r="AV1337" t="str">
            <v>10</v>
          </cell>
          <cell r="AW1337">
            <v>0</v>
          </cell>
          <cell r="AX1337">
            <v>0</v>
          </cell>
          <cell r="AY1337">
            <v>0</v>
          </cell>
          <cell r="AZ1337">
            <v>0</v>
          </cell>
          <cell r="BA1337">
            <v>0</v>
          </cell>
          <cell r="BD1337" t="str">
            <v/>
          </cell>
          <cell r="BE1337">
            <v>1</v>
          </cell>
          <cell r="BG1337" t="str">
            <v>1100</v>
          </cell>
        </row>
        <row r="1338">
          <cell r="B1338" t="str">
            <v>G262010206100300</v>
          </cell>
          <cell r="C1338" t="str">
            <v>26.京都府</v>
          </cell>
          <cell r="D1338" t="str">
            <v>201</v>
          </cell>
          <cell r="E1338" t="str">
            <v>福知山市</v>
          </cell>
          <cell r="F1338" t="str">
            <v>02</v>
          </cell>
          <cell r="G1338" t="str">
            <v>特環 単独</v>
          </cell>
          <cell r="H1338" t="str">
            <v>特定環境保全公共下水道</v>
          </cell>
          <cell r="I1338" t="str">
            <v>単独</v>
          </cell>
          <cell r="J1338" t="str">
            <v>003</v>
          </cell>
          <cell r="K1338" t="str">
            <v>大江中部浄化センター</v>
          </cell>
          <cell r="M1338" t="str">
            <v>1</v>
          </cell>
          <cell r="N1338" t="str">
            <v>1</v>
          </cell>
          <cell r="Q1338">
            <v>36220</v>
          </cell>
          <cell r="R1338" t="str">
            <v>平成</v>
          </cell>
          <cell r="S1338">
            <v>11</v>
          </cell>
          <cell r="T1338">
            <v>3</v>
          </cell>
          <cell r="AB1338">
            <v>11400</v>
          </cell>
          <cell r="AC1338" t="str">
            <v>由良川下流</v>
          </cell>
          <cell r="AD1338" t="str">
            <v>Ａ</v>
          </cell>
          <cell r="AE1338" t="str">
            <v>イ</v>
          </cell>
          <cell r="AF1338">
            <v>15</v>
          </cell>
          <cell r="AG1338">
            <v>16</v>
          </cell>
          <cell r="AH1338">
            <v>2</v>
          </cell>
          <cell r="AI1338" t="str">
            <v>上野川</v>
          </cell>
          <cell r="AK1338" t="str">
            <v>由良川</v>
          </cell>
          <cell r="AL1338" t="str">
            <v>二箇取水場</v>
          </cell>
          <cell r="AN1338">
            <v>5.9</v>
          </cell>
          <cell r="AO1338" t="str">
            <v>舞鶴市</v>
          </cell>
          <cell r="AQ1338" t="str">
            <v/>
          </cell>
          <cell r="AR1338" t="str">
            <v>オキシディションディッチ法</v>
          </cell>
          <cell r="AS1338" t="str">
            <v>2620102003</v>
          </cell>
          <cell r="AT1338" t="str">
            <v/>
          </cell>
          <cell r="AU1338" t="str">
            <v>10</v>
          </cell>
          <cell r="AV1338" t="str">
            <v>10</v>
          </cell>
          <cell r="AW1338">
            <v>0</v>
          </cell>
          <cell r="AX1338">
            <v>0</v>
          </cell>
          <cell r="AY1338">
            <v>0</v>
          </cell>
          <cell r="AZ1338">
            <v>0</v>
          </cell>
          <cell r="BA1338">
            <v>0</v>
          </cell>
          <cell r="BD1338" t="str">
            <v/>
          </cell>
          <cell r="BE1338">
            <v>1</v>
          </cell>
          <cell r="BG1338" t="str">
            <v>1100</v>
          </cell>
        </row>
        <row r="1339">
          <cell r="B1339" t="str">
            <v>G262020106100100</v>
          </cell>
          <cell r="C1339" t="str">
            <v>26.京都府</v>
          </cell>
          <cell r="D1339" t="str">
            <v>202</v>
          </cell>
          <cell r="E1339" t="str">
            <v>舞鶴市</v>
          </cell>
          <cell r="F1339" t="str">
            <v>01</v>
          </cell>
          <cell r="G1339" t="str">
            <v>公共 単独</v>
          </cell>
          <cell r="H1339" t="str">
            <v>公共下水道</v>
          </cell>
          <cell r="I1339" t="str">
            <v>単独</v>
          </cell>
          <cell r="J1339" t="str">
            <v>001</v>
          </cell>
          <cell r="K1339" t="str">
            <v>東浄化センター</v>
          </cell>
          <cell r="M1339" t="str">
            <v>1</v>
          </cell>
          <cell r="N1339" t="str">
            <v>1</v>
          </cell>
          <cell r="Q1339">
            <v>25294</v>
          </cell>
          <cell r="R1339" t="str">
            <v>昭和</v>
          </cell>
          <cell r="S1339">
            <v>44</v>
          </cell>
          <cell r="T1339">
            <v>4</v>
          </cell>
          <cell r="AB1339">
            <v>33332</v>
          </cell>
          <cell r="AC1339" t="str">
            <v>舞鶴湾</v>
          </cell>
          <cell r="AD1339" t="str">
            <v>Ａ</v>
          </cell>
          <cell r="AE1339" t="str">
            <v>ハ</v>
          </cell>
          <cell r="AF1339">
            <v>15</v>
          </cell>
          <cell r="AI1339" t="str">
            <v>舞鶴湾</v>
          </cell>
          <cell r="AQ1339" t="str">
            <v/>
          </cell>
          <cell r="AR1339" t="str">
            <v>標準活性汚泥法</v>
          </cell>
          <cell r="AS1339" t="str">
            <v>2620201001</v>
          </cell>
          <cell r="AT1339" t="str">
            <v/>
          </cell>
          <cell r="AU1339" t="str">
            <v>10</v>
          </cell>
          <cell r="AV1339" t="str">
            <v>10</v>
          </cell>
          <cell r="AW1339">
            <v>0</v>
          </cell>
          <cell r="AX1339">
            <v>0</v>
          </cell>
          <cell r="AY1339">
            <v>0</v>
          </cell>
          <cell r="AZ1339">
            <v>0</v>
          </cell>
          <cell r="BA1339">
            <v>0</v>
          </cell>
          <cell r="BD1339" t="str">
            <v/>
          </cell>
          <cell r="BE1339">
            <v>1</v>
          </cell>
          <cell r="BG1339" t="str">
            <v>1100</v>
          </cell>
        </row>
        <row r="1340">
          <cell r="B1340" t="str">
            <v>G262020106100200</v>
          </cell>
          <cell r="C1340" t="str">
            <v>26.京都府</v>
          </cell>
          <cell r="D1340" t="str">
            <v>202</v>
          </cell>
          <cell r="E1340" t="str">
            <v>舞鶴市</v>
          </cell>
          <cell r="F1340" t="str">
            <v>01</v>
          </cell>
          <cell r="G1340" t="str">
            <v>公共 単独</v>
          </cell>
          <cell r="H1340" t="str">
            <v>公共下水道</v>
          </cell>
          <cell r="I1340" t="str">
            <v>単独</v>
          </cell>
          <cell r="J1340" t="str">
            <v>002</v>
          </cell>
          <cell r="K1340" t="str">
            <v>西浄化センター</v>
          </cell>
          <cell r="M1340" t="str">
            <v>1</v>
          </cell>
          <cell r="N1340" t="str">
            <v>1</v>
          </cell>
          <cell r="Q1340">
            <v>34820</v>
          </cell>
          <cell r="R1340" t="str">
            <v>平成</v>
          </cell>
          <cell r="S1340">
            <v>7</v>
          </cell>
          <cell r="T1340">
            <v>5</v>
          </cell>
          <cell r="AB1340">
            <v>20340</v>
          </cell>
          <cell r="AC1340" t="str">
            <v>舞鶴湾</v>
          </cell>
          <cell r="AD1340" t="str">
            <v>Ａ</v>
          </cell>
          <cell r="AE1340" t="str">
            <v>ハ</v>
          </cell>
          <cell r="AF1340">
            <v>15</v>
          </cell>
          <cell r="AI1340" t="str">
            <v>舞鶴湾</v>
          </cell>
          <cell r="AQ1340" t="str">
            <v/>
          </cell>
          <cell r="AR1340" t="str">
            <v>標準活性汚泥法</v>
          </cell>
          <cell r="AS1340" t="str">
            <v>2620201002</v>
          </cell>
          <cell r="AT1340" t="str">
            <v/>
          </cell>
          <cell r="AU1340" t="str">
            <v>10</v>
          </cell>
          <cell r="AV1340" t="str">
            <v>10</v>
          </cell>
          <cell r="AW1340">
            <v>0</v>
          </cell>
          <cell r="AX1340">
            <v>0</v>
          </cell>
          <cell r="AY1340">
            <v>0</v>
          </cell>
          <cell r="AZ1340">
            <v>0</v>
          </cell>
          <cell r="BA1340">
            <v>0</v>
          </cell>
          <cell r="BD1340" t="str">
            <v/>
          </cell>
          <cell r="BE1340">
            <v>1</v>
          </cell>
          <cell r="BG1340" t="str">
            <v>1100</v>
          </cell>
        </row>
        <row r="1341">
          <cell r="B1341" t="str">
            <v>G262020206100300</v>
          </cell>
          <cell r="C1341" t="str">
            <v>26.京都府</v>
          </cell>
          <cell r="D1341" t="str">
            <v>202</v>
          </cell>
          <cell r="E1341" t="str">
            <v>舞鶴市</v>
          </cell>
          <cell r="F1341" t="str">
            <v>02</v>
          </cell>
          <cell r="G1341" t="str">
            <v>特環 単独</v>
          </cell>
          <cell r="H1341" t="str">
            <v>特定環境保全公共下水道</v>
          </cell>
          <cell r="I1341" t="str">
            <v>単独</v>
          </cell>
          <cell r="J1341" t="str">
            <v>003</v>
          </cell>
          <cell r="K1341" t="str">
            <v>野原浄化センター</v>
          </cell>
          <cell r="M1341" t="str">
            <v>1</v>
          </cell>
          <cell r="N1341" t="str">
            <v>1</v>
          </cell>
          <cell r="Q1341">
            <v>30956</v>
          </cell>
          <cell r="R1341" t="str">
            <v>昭和</v>
          </cell>
          <cell r="S1341">
            <v>59</v>
          </cell>
          <cell r="T1341">
            <v>10</v>
          </cell>
          <cell r="AB1341">
            <v>1182</v>
          </cell>
          <cell r="AC1341" t="str">
            <v>若狭湾</v>
          </cell>
          <cell r="AD1341" t="str">
            <v>Ａ</v>
          </cell>
          <cell r="AE1341" t="str">
            <v>イ</v>
          </cell>
          <cell r="AF1341">
            <v>15</v>
          </cell>
          <cell r="AI1341" t="str">
            <v>若狭湾</v>
          </cell>
          <cell r="AQ1341" t="str">
            <v/>
          </cell>
          <cell r="AR1341" t="str">
            <v>回分式活性汚泥法</v>
          </cell>
          <cell r="AS1341" t="str">
            <v>2620202003</v>
          </cell>
          <cell r="AT1341" t="str">
            <v/>
          </cell>
          <cell r="AU1341" t="str">
            <v>10</v>
          </cell>
          <cell r="AV1341" t="str">
            <v>10</v>
          </cell>
          <cell r="AW1341">
            <v>0</v>
          </cell>
          <cell r="AX1341">
            <v>0</v>
          </cell>
          <cell r="AY1341">
            <v>0</v>
          </cell>
          <cell r="AZ1341">
            <v>0</v>
          </cell>
          <cell r="BA1341">
            <v>0</v>
          </cell>
          <cell r="BD1341" t="str">
            <v/>
          </cell>
          <cell r="BE1341">
            <v>1</v>
          </cell>
          <cell r="BG1341" t="str">
            <v>1100</v>
          </cell>
        </row>
        <row r="1342">
          <cell r="B1342" t="str">
            <v>G262020206100400</v>
          </cell>
          <cell r="C1342" t="str">
            <v>26.京都府</v>
          </cell>
          <cell r="D1342" t="str">
            <v>202</v>
          </cell>
          <cell r="E1342" t="str">
            <v>舞鶴市</v>
          </cell>
          <cell r="F1342" t="str">
            <v>02</v>
          </cell>
          <cell r="G1342" t="str">
            <v>特環 単独</v>
          </cell>
          <cell r="H1342" t="str">
            <v>特定環境保全公共下水道</v>
          </cell>
          <cell r="I1342" t="str">
            <v>単独</v>
          </cell>
          <cell r="J1342" t="str">
            <v>004</v>
          </cell>
          <cell r="K1342" t="str">
            <v>丸山浄化センター</v>
          </cell>
          <cell r="M1342" t="str">
            <v>1</v>
          </cell>
          <cell r="N1342" t="str">
            <v>1</v>
          </cell>
          <cell r="Q1342">
            <v>38078</v>
          </cell>
          <cell r="R1342" t="str">
            <v>平成</v>
          </cell>
          <cell r="S1342">
            <v>16</v>
          </cell>
          <cell r="T1342">
            <v>4</v>
          </cell>
          <cell r="AB1342">
            <v>2258</v>
          </cell>
          <cell r="AC1342" t="str">
            <v>若狭湾</v>
          </cell>
          <cell r="AD1342" t="str">
            <v>Ａ</v>
          </cell>
          <cell r="AE1342" t="str">
            <v>イ</v>
          </cell>
          <cell r="AF1342">
            <v>20</v>
          </cell>
          <cell r="AI1342" t="str">
            <v>若狭湾</v>
          </cell>
          <cell r="AQ1342" t="str">
            <v/>
          </cell>
          <cell r="AR1342" t="str">
            <v>オキシディションディッチ法</v>
          </cell>
          <cell r="AS1342" t="str">
            <v>2620202004</v>
          </cell>
          <cell r="AT1342" t="str">
            <v/>
          </cell>
          <cell r="AU1342" t="str">
            <v>10</v>
          </cell>
          <cell r="AV1342" t="str">
            <v>10</v>
          </cell>
          <cell r="AW1342">
            <v>0</v>
          </cell>
          <cell r="AX1342">
            <v>0</v>
          </cell>
          <cell r="AY1342">
            <v>0</v>
          </cell>
          <cell r="AZ1342">
            <v>0</v>
          </cell>
          <cell r="BA1342">
            <v>0</v>
          </cell>
          <cell r="BD1342" t="str">
            <v/>
          </cell>
          <cell r="BE1342">
            <v>1</v>
          </cell>
          <cell r="BG1342" t="str">
            <v>1100</v>
          </cell>
        </row>
        <row r="1343">
          <cell r="B1343" t="str">
            <v>G262020206100500</v>
          </cell>
          <cell r="C1343" t="str">
            <v>26.京都府</v>
          </cell>
          <cell r="D1343" t="str">
            <v>202</v>
          </cell>
          <cell r="E1343" t="str">
            <v>舞鶴市</v>
          </cell>
          <cell r="F1343" t="str">
            <v>02</v>
          </cell>
          <cell r="G1343" t="str">
            <v>特環 単独</v>
          </cell>
          <cell r="H1343" t="str">
            <v>特定環境保全公共下水道</v>
          </cell>
          <cell r="I1343" t="str">
            <v>単独</v>
          </cell>
          <cell r="J1343" t="str">
            <v>005</v>
          </cell>
          <cell r="K1343" t="str">
            <v>神崎浄化センター</v>
          </cell>
          <cell r="M1343" t="str">
            <v>1</v>
          </cell>
          <cell r="N1343" t="str">
            <v>1</v>
          </cell>
          <cell r="Q1343">
            <v>38534</v>
          </cell>
          <cell r="R1343" t="str">
            <v>平成</v>
          </cell>
          <cell r="S1343">
            <v>17</v>
          </cell>
          <cell r="T1343">
            <v>7</v>
          </cell>
          <cell r="AB1343">
            <v>3247</v>
          </cell>
          <cell r="AI1343" t="str">
            <v>西神崎排水路</v>
          </cell>
          <cell r="AK1343" t="str">
            <v>由良川</v>
          </cell>
          <cell r="AL1343" t="str">
            <v>二箇取水場</v>
          </cell>
          <cell r="AM1343">
            <v>17.2</v>
          </cell>
          <cell r="AO1343" t="str">
            <v>舞鶴市</v>
          </cell>
          <cell r="AQ1343" t="str">
            <v/>
          </cell>
          <cell r="AR1343" t="str">
            <v>オキシディションディッチ法</v>
          </cell>
          <cell r="AS1343" t="str">
            <v>2620202005</v>
          </cell>
          <cell r="AT1343" t="str">
            <v/>
          </cell>
          <cell r="AU1343" t="str">
            <v>10</v>
          </cell>
          <cell r="AV1343" t="str">
            <v>10</v>
          </cell>
          <cell r="AW1343">
            <v>0</v>
          </cell>
          <cell r="AX1343">
            <v>0</v>
          </cell>
          <cell r="AY1343">
            <v>0</v>
          </cell>
          <cell r="AZ1343">
            <v>0</v>
          </cell>
          <cell r="BA1343">
            <v>0</v>
          </cell>
          <cell r="BD1343" t="str">
            <v/>
          </cell>
          <cell r="BE1343">
            <v>1</v>
          </cell>
          <cell r="BG1343" t="str">
            <v>1100</v>
          </cell>
        </row>
        <row r="1344">
          <cell r="B1344" t="str">
            <v>G262030106100100</v>
          </cell>
          <cell r="C1344" t="str">
            <v>26.京都府</v>
          </cell>
          <cell r="D1344" t="str">
            <v>203</v>
          </cell>
          <cell r="E1344" t="str">
            <v>綾部市</v>
          </cell>
          <cell r="F1344" t="str">
            <v>01</v>
          </cell>
          <cell r="G1344" t="str">
            <v>公共 単独</v>
          </cell>
          <cell r="H1344" t="str">
            <v>公共下水道</v>
          </cell>
          <cell r="I1344" t="str">
            <v>単独</v>
          </cell>
          <cell r="J1344" t="str">
            <v>001</v>
          </cell>
          <cell r="K1344" t="str">
            <v>綾部浄化センター</v>
          </cell>
          <cell r="M1344" t="str">
            <v>1</v>
          </cell>
          <cell r="N1344" t="str">
            <v>1</v>
          </cell>
          <cell r="Q1344">
            <v>34788</v>
          </cell>
          <cell r="R1344" t="str">
            <v>平成</v>
          </cell>
          <cell r="S1344">
            <v>7</v>
          </cell>
          <cell r="T1344">
            <v>3</v>
          </cell>
          <cell r="AB1344">
            <v>31200</v>
          </cell>
          <cell r="AC1344" t="str">
            <v>由良川</v>
          </cell>
          <cell r="AD1344" t="str">
            <v>Ａ</v>
          </cell>
          <cell r="AE1344" t="str">
            <v>イ</v>
          </cell>
          <cell r="AF1344">
            <v>15</v>
          </cell>
          <cell r="AI1344" t="str">
            <v>荒倉川</v>
          </cell>
          <cell r="AK1344" t="str">
            <v>由良川</v>
          </cell>
          <cell r="AL1344" t="str">
            <v>綾部第３浄水場</v>
          </cell>
          <cell r="AM1344">
            <v>8</v>
          </cell>
          <cell r="AO1344" t="str">
            <v>綾部市</v>
          </cell>
          <cell r="AQ1344" t="str">
            <v/>
          </cell>
          <cell r="AR1344" t="str">
            <v>標準活性汚泥法</v>
          </cell>
          <cell r="AS1344" t="str">
            <v>2620301001</v>
          </cell>
          <cell r="AT1344" t="str">
            <v/>
          </cell>
          <cell r="AU1344" t="str">
            <v>10</v>
          </cell>
          <cell r="AV1344" t="str">
            <v>10</v>
          </cell>
          <cell r="AW1344">
            <v>0</v>
          </cell>
          <cell r="AX1344">
            <v>0</v>
          </cell>
          <cell r="AY1344">
            <v>0</v>
          </cell>
          <cell r="AZ1344">
            <v>0</v>
          </cell>
          <cell r="BA1344">
            <v>0</v>
          </cell>
          <cell r="BD1344" t="str">
            <v/>
          </cell>
          <cell r="BE1344">
            <v>1</v>
          </cell>
          <cell r="BG1344" t="str">
            <v>1100</v>
          </cell>
        </row>
        <row r="1345">
          <cell r="B1345" t="str">
            <v>G262030106100200</v>
          </cell>
          <cell r="C1345" t="str">
            <v>26.京都府</v>
          </cell>
          <cell r="D1345" t="str">
            <v>203</v>
          </cell>
          <cell r="E1345" t="str">
            <v>綾部市</v>
          </cell>
          <cell r="F1345" t="str">
            <v>01</v>
          </cell>
          <cell r="G1345" t="str">
            <v>公共 単独</v>
          </cell>
          <cell r="H1345" t="str">
            <v>公共下水道</v>
          </cell>
          <cell r="I1345" t="str">
            <v>単独</v>
          </cell>
          <cell r="J1345" t="str">
            <v>002</v>
          </cell>
          <cell r="K1345" t="str">
            <v>綾部第二浄化センター</v>
          </cell>
          <cell r="M1345" t="str">
            <v>1</v>
          </cell>
          <cell r="N1345" t="str">
            <v>1</v>
          </cell>
          <cell r="Q1345">
            <v>36617</v>
          </cell>
          <cell r="R1345" t="str">
            <v>平成</v>
          </cell>
          <cell r="S1345">
            <v>12</v>
          </cell>
          <cell r="T1345">
            <v>4</v>
          </cell>
          <cell r="AB1345">
            <v>3100</v>
          </cell>
          <cell r="AC1345" t="str">
            <v>八田川</v>
          </cell>
          <cell r="AD1345" t="str">
            <v>Ａ</v>
          </cell>
          <cell r="AE1345" t="str">
            <v>イ</v>
          </cell>
          <cell r="AI1345" t="str">
            <v>高倉川</v>
          </cell>
          <cell r="AK1345" t="str">
            <v>由良川</v>
          </cell>
          <cell r="AL1345" t="str">
            <v>綾部第三浄水場</v>
          </cell>
          <cell r="AN1345">
            <v>12.8</v>
          </cell>
          <cell r="AO1345" t="str">
            <v>綾部市</v>
          </cell>
          <cell r="AQ1345" t="str">
            <v/>
          </cell>
          <cell r="AR1345" t="str">
            <v>オキシディションディッチ法</v>
          </cell>
          <cell r="AS1345" t="str">
            <v>2620301002</v>
          </cell>
          <cell r="AT1345" t="str">
            <v/>
          </cell>
          <cell r="AU1345" t="str">
            <v>10</v>
          </cell>
          <cell r="AV1345" t="str">
            <v>10</v>
          </cell>
          <cell r="AW1345">
            <v>0</v>
          </cell>
          <cell r="AX1345">
            <v>0</v>
          </cell>
          <cell r="AY1345">
            <v>0</v>
          </cell>
          <cell r="AZ1345">
            <v>0</v>
          </cell>
          <cell r="BA1345">
            <v>0</v>
          </cell>
          <cell r="BD1345" t="str">
            <v/>
          </cell>
          <cell r="BE1345">
            <v>1</v>
          </cell>
          <cell r="BG1345" t="str">
            <v>1100</v>
          </cell>
        </row>
        <row r="1346">
          <cell r="B1346" t="str">
            <v>G262040106100100</v>
          </cell>
          <cell r="C1346" t="str">
            <v>26.京都府</v>
          </cell>
          <cell r="D1346" t="str">
            <v>204</v>
          </cell>
          <cell r="E1346" t="str">
            <v>宇治市</v>
          </cell>
          <cell r="F1346" t="str">
            <v>01</v>
          </cell>
          <cell r="G1346" t="str">
            <v>公共 単独</v>
          </cell>
          <cell r="H1346" t="str">
            <v>公共下水道</v>
          </cell>
          <cell r="I1346" t="str">
            <v>単独</v>
          </cell>
          <cell r="J1346" t="str">
            <v>001</v>
          </cell>
          <cell r="K1346" t="str">
            <v>東宇治浄化センター</v>
          </cell>
          <cell r="M1346" t="str">
            <v>1</v>
          </cell>
          <cell r="N1346" t="str">
            <v>1</v>
          </cell>
          <cell r="Q1346">
            <v>31625</v>
          </cell>
          <cell r="R1346" t="str">
            <v>昭和</v>
          </cell>
          <cell r="S1346">
            <v>61</v>
          </cell>
          <cell r="T1346">
            <v>8</v>
          </cell>
          <cell r="AB1346">
            <v>72600</v>
          </cell>
          <cell r="AC1346" t="str">
            <v>宇治川</v>
          </cell>
          <cell r="AD1346" t="str">
            <v>Ｂ</v>
          </cell>
          <cell r="AE1346" t="str">
            <v>ハ</v>
          </cell>
          <cell r="AF1346">
            <v>10</v>
          </cell>
          <cell r="AG1346">
            <v>20</v>
          </cell>
          <cell r="AH1346">
            <v>2.1</v>
          </cell>
          <cell r="AK1346" t="str">
            <v>山科川</v>
          </cell>
          <cell r="AL1346" t="str">
            <v>宇治市宇治浄水場</v>
          </cell>
          <cell r="AM1346">
            <v>2</v>
          </cell>
          <cell r="AO1346" t="str">
            <v>宇治市</v>
          </cell>
          <cell r="AQ1346" t="str">
            <v/>
          </cell>
          <cell r="AR1346" t="str">
            <v>標準活性汚泥法</v>
          </cell>
          <cell r="AS1346" t="str">
            <v>2620401001</v>
          </cell>
          <cell r="AT1346" t="str">
            <v/>
          </cell>
          <cell r="AU1346" t="str">
            <v>10</v>
          </cell>
          <cell r="AV1346" t="str">
            <v>10</v>
          </cell>
          <cell r="AW1346">
            <v>0</v>
          </cell>
          <cell r="AX1346">
            <v>0</v>
          </cell>
          <cell r="AY1346">
            <v>0</v>
          </cell>
          <cell r="AZ1346">
            <v>0</v>
          </cell>
          <cell r="BA1346">
            <v>0</v>
          </cell>
          <cell r="BD1346" t="str">
            <v/>
          </cell>
          <cell r="BE1346">
            <v>1</v>
          </cell>
          <cell r="BG1346" t="str">
            <v>1100</v>
          </cell>
        </row>
        <row r="1347">
          <cell r="B1347" t="str">
            <v>G262060106100100</v>
          </cell>
          <cell r="C1347" t="str">
            <v>26.京都府</v>
          </cell>
          <cell r="D1347" t="str">
            <v>206</v>
          </cell>
          <cell r="E1347" t="str">
            <v>亀岡市</v>
          </cell>
          <cell r="F1347" t="str">
            <v>01</v>
          </cell>
          <cell r="G1347" t="str">
            <v>公共 単独</v>
          </cell>
          <cell r="H1347" t="str">
            <v>公共下水道</v>
          </cell>
          <cell r="I1347" t="str">
            <v>単独</v>
          </cell>
          <cell r="J1347" t="str">
            <v>001</v>
          </cell>
          <cell r="K1347" t="str">
            <v>亀岡市年谷浄化センター</v>
          </cell>
          <cell r="M1347" t="str">
            <v>1</v>
          </cell>
          <cell r="N1347" t="str">
            <v>1</v>
          </cell>
          <cell r="Q1347">
            <v>30376</v>
          </cell>
          <cell r="R1347" t="str">
            <v>昭和</v>
          </cell>
          <cell r="S1347">
            <v>58</v>
          </cell>
          <cell r="T1347">
            <v>3</v>
          </cell>
          <cell r="AB1347">
            <v>53000</v>
          </cell>
          <cell r="AC1347" t="str">
            <v>桂川上流</v>
          </cell>
          <cell r="AD1347" t="str">
            <v>Ａ</v>
          </cell>
          <cell r="AE1347" t="str">
            <v>イ</v>
          </cell>
          <cell r="AF1347">
            <v>10</v>
          </cell>
          <cell r="AG1347">
            <v>12</v>
          </cell>
          <cell r="AH1347">
            <v>1.6</v>
          </cell>
          <cell r="AK1347" t="str">
            <v>年谷川</v>
          </cell>
          <cell r="AL1347" t="str">
            <v>京都府営水道乙訓浄水場</v>
          </cell>
          <cell r="AN1347">
            <v>14</v>
          </cell>
          <cell r="AO1347" t="str">
            <v>向日市、長岡京市、大山崎町</v>
          </cell>
          <cell r="AQ1347" t="str">
            <v/>
          </cell>
          <cell r="AR1347" t="str">
            <v>標準活性汚泥法</v>
          </cell>
          <cell r="AS1347" t="str">
            <v>2620601001</v>
          </cell>
          <cell r="AT1347" t="str">
            <v/>
          </cell>
          <cell r="AU1347" t="str">
            <v>10</v>
          </cell>
          <cell r="AV1347" t="str">
            <v>10</v>
          </cell>
          <cell r="AW1347">
            <v>0</v>
          </cell>
          <cell r="AX1347">
            <v>0</v>
          </cell>
          <cell r="AY1347">
            <v>0</v>
          </cell>
          <cell r="AZ1347">
            <v>0</v>
          </cell>
          <cell r="BA1347">
            <v>0</v>
          </cell>
          <cell r="BD1347" t="str">
            <v/>
          </cell>
          <cell r="BE1347">
            <v>1</v>
          </cell>
          <cell r="BG1347" t="str">
            <v>1100</v>
          </cell>
        </row>
        <row r="1348">
          <cell r="B1348" t="str">
            <v>G262060206100200</v>
          </cell>
          <cell r="C1348" t="str">
            <v>26.京都府</v>
          </cell>
          <cell r="D1348" t="str">
            <v>206</v>
          </cell>
          <cell r="E1348" t="str">
            <v>亀岡市</v>
          </cell>
          <cell r="F1348" t="str">
            <v>02</v>
          </cell>
          <cell r="G1348" t="str">
            <v>特環 単独</v>
          </cell>
          <cell r="H1348" t="str">
            <v>特定環境保全公共下水道</v>
          </cell>
          <cell r="I1348" t="str">
            <v>単独</v>
          </cell>
          <cell r="J1348" t="str">
            <v>002</v>
          </cell>
          <cell r="K1348" t="str">
            <v>保津浄化センター</v>
          </cell>
          <cell r="M1348" t="str">
            <v>1</v>
          </cell>
          <cell r="N1348" t="str">
            <v>1</v>
          </cell>
          <cell r="Q1348">
            <v>37135</v>
          </cell>
          <cell r="R1348" t="str">
            <v>平成</v>
          </cell>
          <cell r="S1348">
            <v>13</v>
          </cell>
          <cell r="T1348">
            <v>9</v>
          </cell>
          <cell r="AB1348">
            <v>6909.26</v>
          </cell>
          <cell r="AC1348" t="str">
            <v>桂川上流</v>
          </cell>
          <cell r="AD1348" t="str">
            <v>Ａ</v>
          </cell>
          <cell r="AE1348" t="str">
            <v>イ</v>
          </cell>
          <cell r="AF1348">
            <v>20</v>
          </cell>
          <cell r="AK1348" t="str">
            <v>桂川</v>
          </cell>
          <cell r="AL1348" t="str">
            <v>京都府営水道乙訓浄水場</v>
          </cell>
          <cell r="AN1348">
            <v>14</v>
          </cell>
          <cell r="AO1348" t="str">
            <v>向日市、長岡京市、大山崎町</v>
          </cell>
          <cell r="AQ1348" t="str">
            <v/>
          </cell>
          <cell r="AR1348" t="str">
            <v>オキシディションディッチ法</v>
          </cell>
          <cell r="AS1348" t="str">
            <v>2620602002</v>
          </cell>
          <cell r="AT1348" t="str">
            <v/>
          </cell>
          <cell r="AU1348" t="str">
            <v>10</v>
          </cell>
          <cell r="AV1348" t="str">
            <v>10</v>
          </cell>
          <cell r="AW1348">
            <v>0</v>
          </cell>
          <cell r="AX1348">
            <v>0</v>
          </cell>
          <cell r="AY1348">
            <v>0</v>
          </cell>
          <cell r="AZ1348">
            <v>0</v>
          </cell>
          <cell r="BA1348">
            <v>0</v>
          </cell>
          <cell r="BD1348" t="str">
            <v/>
          </cell>
          <cell r="BE1348">
            <v>1</v>
          </cell>
          <cell r="BG1348" t="str">
            <v>1100</v>
          </cell>
        </row>
        <row r="1349">
          <cell r="B1349" t="str">
            <v>G262120106100100</v>
          </cell>
          <cell r="C1349" t="str">
            <v>26.京都府</v>
          </cell>
          <cell r="D1349" t="str">
            <v>212</v>
          </cell>
          <cell r="E1349" t="str">
            <v>京丹後市</v>
          </cell>
          <cell r="F1349" t="str">
            <v>01</v>
          </cell>
          <cell r="G1349" t="str">
            <v>公共 単独</v>
          </cell>
          <cell r="H1349" t="str">
            <v>公共下水道</v>
          </cell>
          <cell r="I1349" t="str">
            <v>単独</v>
          </cell>
          <cell r="J1349" t="str">
            <v>001</v>
          </cell>
          <cell r="K1349" t="str">
            <v>峰山大宮浄化センター</v>
          </cell>
          <cell r="M1349" t="str">
            <v>1</v>
          </cell>
          <cell r="N1349" t="str">
            <v>1</v>
          </cell>
          <cell r="Q1349">
            <v>36982</v>
          </cell>
          <cell r="R1349" t="str">
            <v>平成</v>
          </cell>
          <cell r="S1349">
            <v>13</v>
          </cell>
          <cell r="T1349">
            <v>4</v>
          </cell>
          <cell r="AB1349">
            <v>32400</v>
          </cell>
          <cell r="AC1349" t="str">
            <v>竹野川</v>
          </cell>
          <cell r="AD1349" t="str">
            <v>Ｂ</v>
          </cell>
          <cell r="AE1349" t="str">
            <v>ハ</v>
          </cell>
          <cell r="AF1349">
            <v>15</v>
          </cell>
          <cell r="AJ1349" t="str">
            <v>竹野川</v>
          </cell>
          <cell r="AQ1349" t="str">
            <v/>
          </cell>
          <cell r="AR1349" t="str">
            <v>オキシディションディッチ法</v>
          </cell>
          <cell r="AS1349" t="str">
            <v>2621201001</v>
          </cell>
          <cell r="AT1349" t="str">
            <v/>
          </cell>
          <cell r="AU1349" t="str">
            <v>10</v>
          </cell>
          <cell r="AV1349" t="str">
            <v>10</v>
          </cell>
          <cell r="AW1349">
            <v>0</v>
          </cell>
          <cell r="AX1349">
            <v>0</v>
          </cell>
          <cell r="AY1349">
            <v>0</v>
          </cell>
          <cell r="AZ1349">
            <v>0</v>
          </cell>
          <cell r="BA1349">
            <v>0</v>
          </cell>
          <cell r="BD1349" t="str">
            <v/>
          </cell>
          <cell r="BE1349">
            <v>1</v>
          </cell>
          <cell r="BG1349" t="str">
            <v>1100</v>
          </cell>
        </row>
        <row r="1350">
          <cell r="B1350" t="str">
            <v>G262120106100200</v>
          </cell>
          <cell r="C1350" t="str">
            <v>26.京都府</v>
          </cell>
          <cell r="D1350" t="str">
            <v>212</v>
          </cell>
          <cell r="E1350" t="str">
            <v>京丹後市</v>
          </cell>
          <cell r="F1350" t="str">
            <v>01</v>
          </cell>
          <cell r="G1350" t="str">
            <v>公共 単独</v>
          </cell>
          <cell r="H1350" t="str">
            <v>公共下水道</v>
          </cell>
          <cell r="I1350" t="str">
            <v>単独</v>
          </cell>
          <cell r="J1350" t="str">
            <v>002</v>
          </cell>
          <cell r="K1350" t="str">
            <v>網野浄化センター</v>
          </cell>
          <cell r="M1350" t="str">
            <v>1</v>
          </cell>
          <cell r="Q1350">
            <v>40238</v>
          </cell>
          <cell r="R1350" t="str">
            <v>平成</v>
          </cell>
          <cell r="S1350">
            <v>22</v>
          </cell>
          <cell r="T1350">
            <v>3</v>
          </cell>
          <cell r="AB1350">
            <v>20400</v>
          </cell>
          <cell r="AC1350" t="str">
            <v>福田川</v>
          </cell>
          <cell r="AD1350" t="str">
            <v>Ａ</v>
          </cell>
          <cell r="AE1350" t="str">
            <v>イ</v>
          </cell>
          <cell r="AF1350">
            <v>15</v>
          </cell>
          <cell r="AI1350" t="str">
            <v>新庄川</v>
          </cell>
          <cell r="AJ1350" t="str">
            <v>福田川</v>
          </cell>
          <cell r="AQ1350" t="str">
            <v/>
          </cell>
          <cell r="AR1350" t="str">
            <v>オキシディションディッチ法</v>
          </cell>
          <cell r="AS1350" t="str">
            <v>2621201002</v>
          </cell>
          <cell r="AT1350" t="str">
            <v/>
          </cell>
          <cell r="AU1350" t="str">
            <v>00</v>
          </cell>
          <cell r="AV1350" t="str">
            <v>00</v>
          </cell>
          <cell r="AW1350">
            <v>0</v>
          </cell>
          <cell r="AX1350">
            <v>0</v>
          </cell>
          <cell r="AY1350">
            <v>0</v>
          </cell>
          <cell r="AZ1350">
            <v>0</v>
          </cell>
          <cell r="BA1350">
            <v>0</v>
          </cell>
          <cell r="BD1350" t="str">
            <v/>
          </cell>
          <cell r="BE1350">
            <v>1</v>
          </cell>
          <cell r="BG1350" t="str">
            <v>1000</v>
          </cell>
        </row>
        <row r="1351">
          <cell r="B1351" t="str">
            <v>G262120206100300</v>
          </cell>
          <cell r="C1351" t="str">
            <v>26.京都府</v>
          </cell>
          <cell r="D1351" t="str">
            <v>212</v>
          </cell>
          <cell r="E1351" t="str">
            <v>京丹後市</v>
          </cell>
          <cell r="F1351" t="str">
            <v>02</v>
          </cell>
          <cell r="G1351" t="str">
            <v>特環 単独</v>
          </cell>
          <cell r="H1351" t="str">
            <v>特定環境保全公共下水道</v>
          </cell>
          <cell r="I1351" t="str">
            <v>単独</v>
          </cell>
          <cell r="J1351" t="str">
            <v>003</v>
          </cell>
          <cell r="K1351" t="str">
            <v>久美浜浄化センター</v>
          </cell>
          <cell r="M1351" t="str">
            <v>1</v>
          </cell>
          <cell r="N1351" t="str">
            <v>1</v>
          </cell>
          <cell r="Q1351">
            <v>35521</v>
          </cell>
          <cell r="R1351" t="str">
            <v>平成</v>
          </cell>
          <cell r="S1351">
            <v>9</v>
          </cell>
          <cell r="T1351">
            <v>4</v>
          </cell>
          <cell r="AB1351">
            <v>27000</v>
          </cell>
          <cell r="AC1351" t="str">
            <v>山陰海岸</v>
          </cell>
          <cell r="AD1351" t="str">
            <v>Ａ</v>
          </cell>
          <cell r="AE1351" t="str">
            <v>イ</v>
          </cell>
          <cell r="AF1351">
            <v>15</v>
          </cell>
          <cell r="AI1351" t="str">
            <v>山陰海岸</v>
          </cell>
          <cell r="AQ1351" t="str">
            <v/>
          </cell>
          <cell r="AR1351" t="str">
            <v>オキシディションディッチ法</v>
          </cell>
          <cell r="AS1351" t="str">
            <v>2621202003</v>
          </cell>
          <cell r="AT1351" t="str">
            <v/>
          </cell>
          <cell r="AU1351" t="str">
            <v>10</v>
          </cell>
          <cell r="AV1351" t="str">
            <v>10</v>
          </cell>
          <cell r="AW1351">
            <v>0</v>
          </cell>
          <cell r="AX1351">
            <v>0</v>
          </cell>
          <cell r="AY1351">
            <v>0</v>
          </cell>
          <cell r="AZ1351">
            <v>0</v>
          </cell>
          <cell r="BA1351">
            <v>0</v>
          </cell>
          <cell r="BD1351" t="str">
            <v/>
          </cell>
          <cell r="BE1351">
            <v>1</v>
          </cell>
          <cell r="BG1351" t="str">
            <v>1100</v>
          </cell>
        </row>
        <row r="1352">
          <cell r="B1352" t="str">
            <v>G262120206100400</v>
          </cell>
          <cell r="C1352" t="str">
            <v>26.京都府</v>
          </cell>
          <cell r="D1352" t="str">
            <v>212</v>
          </cell>
          <cell r="E1352" t="str">
            <v>京丹後市</v>
          </cell>
          <cell r="F1352" t="str">
            <v>02</v>
          </cell>
          <cell r="G1352" t="str">
            <v>特環 単独</v>
          </cell>
          <cell r="H1352" t="str">
            <v>特定環境保全公共下水道</v>
          </cell>
          <cell r="I1352" t="str">
            <v>単独</v>
          </cell>
          <cell r="J1352" t="str">
            <v>004</v>
          </cell>
          <cell r="K1352" t="str">
            <v>橘浄化センター</v>
          </cell>
          <cell r="M1352" t="str">
            <v>1</v>
          </cell>
          <cell r="N1352" t="str">
            <v>1</v>
          </cell>
          <cell r="Q1352">
            <v>36982</v>
          </cell>
          <cell r="R1352" t="str">
            <v>平成</v>
          </cell>
          <cell r="S1352">
            <v>13</v>
          </cell>
          <cell r="T1352">
            <v>4</v>
          </cell>
          <cell r="AB1352">
            <v>12451</v>
          </cell>
          <cell r="AC1352" t="str">
            <v>山陰海岸</v>
          </cell>
          <cell r="AD1352" t="str">
            <v>Ａ</v>
          </cell>
          <cell r="AE1352" t="str">
            <v>イ</v>
          </cell>
          <cell r="AF1352">
            <v>15</v>
          </cell>
          <cell r="AJ1352" t="str">
            <v>木津川</v>
          </cell>
          <cell r="AQ1352" t="str">
            <v/>
          </cell>
          <cell r="AR1352" t="str">
            <v>オキシディションディッチ法</v>
          </cell>
          <cell r="AS1352" t="str">
            <v>2621202004</v>
          </cell>
          <cell r="AT1352" t="str">
            <v/>
          </cell>
          <cell r="AU1352" t="str">
            <v>10</v>
          </cell>
          <cell r="AV1352" t="str">
            <v>10</v>
          </cell>
          <cell r="AW1352">
            <v>0</v>
          </cell>
          <cell r="AX1352">
            <v>0</v>
          </cell>
          <cell r="AY1352">
            <v>0</v>
          </cell>
          <cell r="AZ1352">
            <v>0</v>
          </cell>
          <cell r="BA1352">
            <v>0</v>
          </cell>
          <cell r="BD1352" t="str">
            <v/>
          </cell>
          <cell r="BE1352">
            <v>1</v>
          </cell>
          <cell r="BG1352" t="str">
            <v>1100</v>
          </cell>
        </row>
        <row r="1353">
          <cell r="B1353" t="str">
            <v>G262120206100500</v>
          </cell>
          <cell r="C1353" t="str">
            <v>26.京都府</v>
          </cell>
          <cell r="D1353" t="str">
            <v>212</v>
          </cell>
          <cell r="E1353" t="str">
            <v>京丹後市</v>
          </cell>
          <cell r="F1353" t="str">
            <v>02</v>
          </cell>
          <cell r="G1353" t="str">
            <v>特環 単独</v>
          </cell>
          <cell r="H1353" t="str">
            <v>特定環境保全公共下水道</v>
          </cell>
          <cell r="I1353" t="str">
            <v>単独</v>
          </cell>
          <cell r="J1353" t="str">
            <v>005</v>
          </cell>
          <cell r="K1353" t="str">
            <v>丹後浄化センター</v>
          </cell>
          <cell r="M1353" t="str">
            <v>1</v>
          </cell>
          <cell r="N1353" t="str">
            <v>1</v>
          </cell>
          <cell r="Q1353">
            <v>37681</v>
          </cell>
          <cell r="R1353" t="str">
            <v>平成</v>
          </cell>
          <cell r="S1353">
            <v>15</v>
          </cell>
          <cell r="T1353">
            <v>3</v>
          </cell>
          <cell r="AB1353">
            <v>8280</v>
          </cell>
          <cell r="AC1353" t="str">
            <v>竹野川</v>
          </cell>
          <cell r="AD1353" t="str">
            <v>Ｂ</v>
          </cell>
          <cell r="AE1353" t="str">
            <v>ハ</v>
          </cell>
          <cell r="AF1353">
            <v>15</v>
          </cell>
          <cell r="AJ1353" t="str">
            <v>竹野川</v>
          </cell>
          <cell r="AQ1353" t="str">
            <v/>
          </cell>
          <cell r="AR1353" t="str">
            <v>オキシディションディッチ法</v>
          </cell>
          <cell r="AS1353" t="str">
            <v>2621202005</v>
          </cell>
          <cell r="AT1353" t="str">
            <v/>
          </cell>
          <cell r="AU1353" t="str">
            <v>10</v>
          </cell>
          <cell r="AV1353" t="str">
            <v>10</v>
          </cell>
          <cell r="AW1353">
            <v>0</v>
          </cell>
          <cell r="AX1353">
            <v>0</v>
          </cell>
          <cell r="AY1353">
            <v>0</v>
          </cell>
          <cell r="AZ1353">
            <v>0</v>
          </cell>
          <cell r="BA1353">
            <v>0</v>
          </cell>
          <cell r="BD1353" t="str">
            <v/>
          </cell>
          <cell r="BE1353">
            <v>1</v>
          </cell>
          <cell r="BG1353" t="str">
            <v>1100</v>
          </cell>
        </row>
        <row r="1354">
          <cell r="B1354" t="str">
            <v>G262130206100100</v>
          </cell>
          <cell r="C1354" t="str">
            <v>26.京都府</v>
          </cell>
          <cell r="D1354" t="str">
            <v>213</v>
          </cell>
          <cell r="E1354" t="str">
            <v>南丹市</v>
          </cell>
          <cell r="F1354" t="str">
            <v>02</v>
          </cell>
          <cell r="G1354" t="str">
            <v>特環 単独</v>
          </cell>
          <cell r="H1354" t="str">
            <v>特定環境保全公共下水道</v>
          </cell>
          <cell r="I1354" t="str">
            <v>単独</v>
          </cell>
          <cell r="J1354" t="str">
            <v>001</v>
          </cell>
          <cell r="K1354" t="str">
            <v>西本梅処理場</v>
          </cell>
          <cell r="M1354" t="str">
            <v>1</v>
          </cell>
          <cell r="N1354" t="str">
            <v>1</v>
          </cell>
          <cell r="Q1354">
            <v>34943</v>
          </cell>
          <cell r="R1354" t="str">
            <v>平成</v>
          </cell>
          <cell r="S1354">
            <v>7</v>
          </cell>
          <cell r="T1354">
            <v>9</v>
          </cell>
          <cell r="AB1354">
            <v>2053</v>
          </cell>
          <cell r="AC1354" t="str">
            <v>桂川上流</v>
          </cell>
          <cell r="AD1354" t="str">
            <v>Ａ</v>
          </cell>
          <cell r="AE1354" t="str">
            <v>イ</v>
          </cell>
          <cell r="AF1354">
            <v>15</v>
          </cell>
          <cell r="AG1354">
            <v>20</v>
          </cell>
          <cell r="AH1354">
            <v>3</v>
          </cell>
          <cell r="AI1354" t="str">
            <v>02号排水路</v>
          </cell>
          <cell r="AK1354" t="str">
            <v>本梅川</v>
          </cell>
          <cell r="AL1354" t="str">
            <v>船阪浄水場</v>
          </cell>
          <cell r="AN1354">
            <v>3.8</v>
          </cell>
          <cell r="AO1354" t="str">
            <v>南丹市</v>
          </cell>
          <cell r="AQ1354" t="str">
            <v/>
          </cell>
          <cell r="AR1354" t="str">
            <v>土壌被覆型礫間接触法</v>
          </cell>
          <cell r="AS1354" t="str">
            <v>2621302001</v>
          </cell>
          <cell r="AT1354" t="str">
            <v/>
          </cell>
          <cell r="AU1354" t="str">
            <v>10</v>
          </cell>
          <cell r="AV1354" t="str">
            <v>10</v>
          </cell>
          <cell r="AW1354">
            <v>0</v>
          </cell>
          <cell r="AX1354">
            <v>0</v>
          </cell>
          <cell r="AY1354">
            <v>0</v>
          </cell>
          <cell r="AZ1354">
            <v>0</v>
          </cell>
          <cell r="BA1354">
            <v>0</v>
          </cell>
          <cell r="BD1354" t="str">
            <v/>
          </cell>
          <cell r="BE1354">
            <v>1</v>
          </cell>
          <cell r="BG1354" t="str">
            <v>1100</v>
          </cell>
        </row>
        <row r="1355">
          <cell r="B1355" t="str">
            <v>G262130206100200</v>
          </cell>
          <cell r="C1355" t="str">
            <v>26.京都府</v>
          </cell>
          <cell r="D1355" t="str">
            <v>213</v>
          </cell>
          <cell r="E1355" t="str">
            <v>南丹市</v>
          </cell>
          <cell r="F1355" t="str">
            <v>02</v>
          </cell>
          <cell r="G1355" t="str">
            <v>特環 単独</v>
          </cell>
          <cell r="H1355" t="str">
            <v>特定環境保全公共下水道</v>
          </cell>
          <cell r="I1355" t="str">
            <v>単独</v>
          </cell>
          <cell r="J1355" t="str">
            <v>002</v>
          </cell>
          <cell r="K1355" t="str">
            <v>胡麻処理場</v>
          </cell>
          <cell r="M1355" t="str">
            <v>1</v>
          </cell>
          <cell r="N1355" t="str">
            <v>1</v>
          </cell>
          <cell r="Q1355">
            <v>35156</v>
          </cell>
          <cell r="R1355" t="str">
            <v>平成</v>
          </cell>
          <cell r="S1355">
            <v>8</v>
          </cell>
          <cell r="T1355">
            <v>4</v>
          </cell>
          <cell r="AB1355">
            <v>7540</v>
          </cell>
          <cell r="AC1355" t="str">
            <v>桂川上流</v>
          </cell>
          <cell r="AD1355" t="str">
            <v>Ａ</v>
          </cell>
          <cell r="AE1355" t="str">
            <v>イ</v>
          </cell>
          <cell r="AK1355" t="str">
            <v>胡麻川</v>
          </cell>
          <cell r="AL1355" t="str">
            <v>殿田浄水場</v>
          </cell>
          <cell r="AN1355">
            <v>4.5</v>
          </cell>
          <cell r="AO1355" t="str">
            <v>南丹市</v>
          </cell>
          <cell r="AQ1355" t="str">
            <v/>
          </cell>
          <cell r="AR1355" t="str">
            <v>オキシディションディッチ法</v>
          </cell>
          <cell r="AS1355" t="str">
            <v>2621302002</v>
          </cell>
          <cell r="AT1355" t="str">
            <v/>
          </cell>
          <cell r="AU1355" t="str">
            <v>10</v>
          </cell>
          <cell r="AV1355" t="str">
            <v>10</v>
          </cell>
          <cell r="AW1355">
            <v>0</v>
          </cell>
          <cell r="AX1355">
            <v>0</v>
          </cell>
          <cell r="AY1355">
            <v>0</v>
          </cell>
          <cell r="AZ1355">
            <v>0</v>
          </cell>
          <cell r="BA1355">
            <v>0</v>
          </cell>
          <cell r="BD1355" t="str">
            <v/>
          </cell>
          <cell r="BE1355">
            <v>1</v>
          </cell>
          <cell r="BG1355" t="str">
            <v>1100</v>
          </cell>
        </row>
        <row r="1356">
          <cell r="B1356" t="str">
            <v>G262130206100300</v>
          </cell>
          <cell r="C1356" t="str">
            <v>26.京都府</v>
          </cell>
          <cell r="D1356" t="str">
            <v>213</v>
          </cell>
          <cell r="E1356" t="str">
            <v>南丹市</v>
          </cell>
          <cell r="F1356" t="str">
            <v>02</v>
          </cell>
          <cell r="G1356" t="str">
            <v>特環 単独</v>
          </cell>
          <cell r="H1356" t="str">
            <v>特定環境保全公共下水道</v>
          </cell>
          <cell r="I1356" t="str">
            <v>単独</v>
          </cell>
          <cell r="J1356" t="str">
            <v>003</v>
          </cell>
          <cell r="K1356" t="str">
            <v>西部処理場</v>
          </cell>
          <cell r="M1356" t="str">
            <v>1</v>
          </cell>
          <cell r="N1356" t="str">
            <v>1</v>
          </cell>
          <cell r="Q1356">
            <v>35886</v>
          </cell>
          <cell r="R1356" t="str">
            <v>平成</v>
          </cell>
          <cell r="S1356">
            <v>10</v>
          </cell>
          <cell r="T1356">
            <v>4</v>
          </cell>
          <cell r="V1356">
            <v>39022</v>
          </cell>
          <cell r="W1356" t="str">
            <v>平成</v>
          </cell>
          <cell r="X1356">
            <v>18</v>
          </cell>
          <cell r="Y1356">
            <v>11</v>
          </cell>
          <cell r="AB1356">
            <v>7840</v>
          </cell>
          <cell r="AC1356" t="str">
            <v>桂川上流</v>
          </cell>
          <cell r="AD1356" t="str">
            <v>Ａ</v>
          </cell>
          <cell r="AE1356" t="str">
            <v>イ</v>
          </cell>
          <cell r="AF1356">
            <v>15</v>
          </cell>
          <cell r="AK1356" t="str">
            <v>園部川</v>
          </cell>
          <cell r="AL1356" t="str">
            <v>船坂浄水場</v>
          </cell>
          <cell r="AM1356">
            <v>1.2</v>
          </cell>
          <cell r="AO1356" t="str">
            <v>南丹市</v>
          </cell>
          <cell r="AQ1356" t="str">
            <v/>
          </cell>
          <cell r="AR1356" t="str">
            <v>土壌被覆型礫間接触法</v>
          </cell>
          <cell r="AS1356" t="str">
            <v>2621302003</v>
          </cell>
          <cell r="AT1356" t="str">
            <v/>
          </cell>
          <cell r="AU1356" t="str">
            <v>10</v>
          </cell>
          <cell r="AV1356" t="str">
            <v>10</v>
          </cell>
          <cell r="AW1356">
            <v>0</v>
          </cell>
          <cell r="AX1356">
            <v>0</v>
          </cell>
          <cell r="AY1356">
            <v>0</v>
          </cell>
          <cell r="AZ1356">
            <v>0</v>
          </cell>
          <cell r="BA1356">
            <v>0</v>
          </cell>
          <cell r="BD1356" t="str">
            <v/>
          </cell>
          <cell r="BE1356">
            <v>1</v>
          </cell>
          <cell r="BG1356" t="str">
            <v>1100</v>
          </cell>
        </row>
        <row r="1357">
          <cell r="B1357" t="str">
            <v>G262130206100400</v>
          </cell>
          <cell r="C1357" t="str">
            <v>26.京都府</v>
          </cell>
          <cell r="D1357" t="str">
            <v>213</v>
          </cell>
          <cell r="E1357" t="str">
            <v>南丹市</v>
          </cell>
          <cell r="F1357" t="str">
            <v>02</v>
          </cell>
          <cell r="G1357" t="str">
            <v>特環 単独</v>
          </cell>
          <cell r="H1357" t="str">
            <v>特定環境保全公共下水道</v>
          </cell>
          <cell r="I1357" t="str">
            <v>単独</v>
          </cell>
          <cell r="J1357" t="str">
            <v>004</v>
          </cell>
          <cell r="K1357" t="str">
            <v>殿田処理場</v>
          </cell>
          <cell r="M1357" t="str">
            <v>1</v>
          </cell>
          <cell r="N1357" t="str">
            <v>1</v>
          </cell>
          <cell r="Q1357">
            <v>36982</v>
          </cell>
          <cell r="R1357" t="str">
            <v>平成</v>
          </cell>
          <cell r="S1357">
            <v>13</v>
          </cell>
          <cell r="T1357">
            <v>4</v>
          </cell>
          <cell r="AB1357">
            <v>2800</v>
          </cell>
          <cell r="AC1357" t="str">
            <v>桂川上流</v>
          </cell>
          <cell r="AD1357" t="str">
            <v>Ａ</v>
          </cell>
          <cell r="AE1357" t="str">
            <v>イ</v>
          </cell>
          <cell r="AK1357" t="str">
            <v>田原川</v>
          </cell>
          <cell r="AL1357" t="str">
            <v>殿田浄水場</v>
          </cell>
          <cell r="AM1357">
            <v>1.2</v>
          </cell>
          <cell r="AO1357" t="str">
            <v>南丹市</v>
          </cell>
          <cell r="AQ1357" t="str">
            <v/>
          </cell>
          <cell r="AR1357" t="str">
            <v>オキシディションディッチ法</v>
          </cell>
          <cell r="AS1357" t="str">
            <v>2621302004</v>
          </cell>
          <cell r="AT1357" t="str">
            <v/>
          </cell>
          <cell r="AU1357" t="str">
            <v>10</v>
          </cell>
          <cell r="AV1357" t="str">
            <v>10</v>
          </cell>
          <cell r="AW1357">
            <v>0</v>
          </cell>
          <cell r="AX1357">
            <v>0</v>
          </cell>
          <cell r="AY1357">
            <v>0</v>
          </cell>
          <cell r="AZ1357">
            <v>0</v>
          </cell>
          <cell r="BA1357">
            <v>0</v>
          </cell>
          <cell r="BD1357" t="str">
            <v/>
          </cell>
          <cell r="BE1357">
            <v>1</v>
          </cell>
          <cell r="BG1357" t="str">
            <v>1100</v>
          </cell>
        </row>
        <row r="1358">
          <cell r="B1358" t="str">
            <v>G262130206100500</v>
          </cell>
          <cell r="C1358" t="str">
            <v>26.京都府</v>
          </cell>
          <cell r="D1358" t="str">
            <v>213</v>
          </cell>
          <cell r="E1358" t="str">
            <v>南丹市</v>
          </cell>
          <cell r="F1358" t="str">
            <v>02</v>
          </cell>
          <cell r="G1358" t="str">
            <v>特環 単独</v>
          </cell>
          <cell r="H1358" t="str">
            <v>特定環境保全公共下水道</v>
          </cell>
          <cell r="I1358" t="str">
            <v>単独</v>
          </cell>
          <cell r="J1358" t="str">
            <v>005</v>
          </cell>
          <cell r="K1358" t="str">
            <v>川東処理場</v>
          </cell>
          <cell r="M1358" t="str">
            <v>1</v>
          </cell>
          <cell r="N1358" t="str">
            <v>1</v>
          </cell>
          <cell r="Q1358">
            <v>37316</v>
          </cell>
          <cell r="R1358" t="str">
            <v>平成</v>
          </cell>
          <cell r="S1358">
            <v>14</v>
          </cell>
          <cell r="T1358">
            <v>3</v>
          </cell>
          <cell r="AB1358">
            <v>7178</v>
          </cell>
          <cell r="AC1358" t="str">
            <v>桂川上流</v>
          </cell>
          <cell r="AD1358" t="str">
            <v>Ａ</v>
          </cell>
          <cell r="AE1358" t="str">
            <v>イ</v>
          </cell>
          <cell r="AK1358" t="str">
            <v>官山川</v>
          </cell>
          <cell r="AL1358" t="str">
            <v>川東浄水場</v>
          </cell>
          <cell r="AN1358">
            <v>2.2000000000000002</v>
          </cell>
          <cell r="AO1358" t="str">
            <v>南丹市</v>
          </cell>
          <cell r="AQ1358" t="str">
            <v/>
          </cell>
          <cell r="AR1358" t="str">
            <v>オキシディションディッチ法</v>
          </cell>
          <cell r="AS1358" t="str">
            <v>2621302005</v>
          </cell>
          <cell r="AT1358" t="str">
            <v/>
          </cell>
          <cell r="AU1358" t="str">
            <v>10</v>
          </cell>
          <cell r="AV1358" t="str">
            <v>10</v>
          </cell>
          <cell r="AW1358">
            <v>0</v>
          </cell>
          <cell r="AX1358">
            <v>0</v>
          </cell>
          <cell r="AY1358">
            <v>0</v>
          </cell>
          <cell r="AZ1358">
            <v>0</v>
          </cell>
          <cell r="BA1358">
            <v>0</v>
          </cell>
          <cell r="BD1358" t="str">
            <v/>
          </cell>
          <cell r="BE1358">
            <v>1</v>
          </cell>
          <cell r="BG1358" t="str">
            <v>1100</v>
          </cell>
        </row>
        <row r="1359">
          <cell r="B1359" t="str">
            <v>G262140106100100</v>
          </cell>
          <cell r="C1359" t="str">
            <v>26.京都府</v>
          </cell>
          <cell r="D1359" t="str">
            <v>214</v>
          </cell>
          <cell r="E1359" t="str">
            <v>木津川市</v>
          </cell>
          <cell r="F1359" t="str">
            <v>01</v>
          </cell>
          <cell r="G1359" t="str">
            <v>公共 単独</v>
          </cell>
          <cell r="H1359" t="str">
            <v>公共下水道</v>
          </cell>
          <cell r="I1359" t="str">
            <v>単独</v>
          </cell>
          <cell r="J1359" t="str">
            <v>001</v>
          </cell>
          <cell r="K1359" t="str">
            <v>加茂浄化センター</v>
          </cell>
          <cell r="M1359" t="str">
            <v>1</v>
          </cell>
          <cell r="N1359" t="str">
            <v>1</v>
          </cell>
          <cell r="Q1359">
            <v>33694</v>
          </cell>
          <cell r="R1359" t="str">
            <v>平成</v>
          </cell>
          <cell r="S1359">
            <v>4</v>
          </cell>
          <cell r="T1359">
            <v>3</v>
          </cell>
          <cell r="AB1359">
            <v>22000</v>
          </cell>
          <cell r="AC1359" t="str">
            <v>淀川上流</v>
          </cell>
          <cell r="AD1359" t="str">
            <v>Ａ</v>
          </cell>
          <cell r="AE1359" t="str">
            <v>イ</v>
          </cell>
          <cell r="AF1359">
            <v>15</v>
          </cell>
          <cell r="AI1359" t="str">
            <v>土堀川</v>
          </cell>
          <cell r="AK1359" t="str">
            <v>木津川</v>
          </cell>
          <cell r="AL1359" t="str">
            <v>奈良市木津浄水場</v>
          </cell>
          <cell r="AN1359">
            <v>3.7</v>
          </cell>
          <cell r="AO1359" t="str">
            <v>奈良市・木津川市</v>
          </cell>
          <cell r="AQ1359" t="str">
            <v/>
          </cell>
          <cell r="AR1359" t="str">
            <v>オキシディションディッチ法</v>
          </cell>
          <cell r="AS1359" t="str">
            <v>2621401001</v>
          </cell>
          <cell r="AT1359" t="str">
            <v/>
          </cell>
          <cell r="AU1359" t="str">
            <v>10</v>
          </cell>
          <cell r="AV1359" t="str">
            <v>10</v>
          </cell>
          <cell r="AW1359">
            <v>0</v>
          </cell>
          <cell r="AX1359">
            <v>0</v>
          </cell>
          <cell r="AY1359">
            <v>0</v>
          </cell>
          <cell r="AZ1359">
            <v>0</v>
          </cell>
          <cell r="BA1359">
            <v>0</v>
          </cell>
          <cell r="BD1359" t="str">
            <v/>
          </cell>
          <cell r="BE1359">
            <v>1</v>
          </cell>
          <cell r="BG1359" t="str">
            <v>1100</v>
          </cell>
        </row>
        <row r="1360">
          <cell r="B1360" t="str">
            <v>G263440106100100</v>
          </cell>
          <cell r="C1360" t="str">
            <v>26.京都府</v>
          </cell>
          <cell r="D1360" t="str">
            <v>344</v>
          </cell>
          <cell r="E1360" t="str">
            <v>宇治田原町</v>
          </cell>
          <cell r="F1360" t="str">
            <v>01</v>
          </cell>
          <cell r="G1360" t="str">
            <v>公共 単独</v>
          </cell>
          <cell r="H1360" t="str">
            <v>公共下水道</v>
          </cell>
          <cell r="I1360" t="str">
            <v>単独</v>
          </cell>
          <cell r="J1360" t="str">
            <v>001</v>
          </cell>
          <cell r="K1360" t="str">
            <v>宇治田原浄化センター</v>
          </cell>
          <cell r="M1360" t="str">
            <v>1</v>
          </cell>
          <cell r="N1360" t="str">
            <v>1</v>
          </cell>
          <cell r="Q1360">
            <v>36586</v>
          </cell>
          <cell r="R1360" t="str">
            <v>平成</v>
          </cell>
          <cell r="S1360">
            <v>12</v>
          </cell>
          <cell r="T1360">
            <v>3</v>
          </cell>
          <cell r="AB1360">
            <v>21000</v>
          </cell>
          <cell r="AC1360" t="str">
            <v>淀川水系一級河川田原川</v>
          </cell>
          <cell r="AD1360" t="str">
            <v>Ａ</v>
          </cell>
          <cell r="AE1360" t="str">
            <v>イ</v>
          </cell>
          <cell r="AF1360">
            <v>15</v>
          </cell>
          <cell r="AI1360" t="str">
            <v>淀川</v>
          </cell>
          <cell r="AK1360" t="str">
            <v>田原川</v>
          </cell>
          <cell r="AL1360" t="str">
            <v>府営水道宇治浄水場</v>
          </cell>
          <cell r="AN1360">
            <v>3.5</v>
          </cell>
          <cell r="AO1360" t="str">
            <v>宇治市、城陽市、久御山町</v>
          </cell>
          <cell r="AQ1360" t="str">
            <v/>
          </cell>
          <cell r="AR1360" t="str">
            <v>好気性ろ床法</v>
          </cell>
          <cell r="AS1360" t="str">
            <v>2634401001</v>
          </cell>
          <cell r="AT1360" t="str">
            <v/>
          </cell>
          <cell r="AU1360" t="str">
            <v>10</v>
          </cell>
          <cell r="AV1360" t="str">
            <v>10</v>
          </cell>
          <cell r="AW1360">
            <v>0</v>
          </cell>
          <cell r="AX1360">
            <v>0</v>
          </cell>
          <cell r="AY1360">
            <v>0</v>
          </cell>
          <cell r="AZ1360">
            <v>0</v>
          </cell>
          <cell r="BA1360">
            <v>0</v>
          </cell>
          <cell r="BD1360" t="str">
            <v/>
          </cell>
          <cell r="BE1360">
            <v>1</v>
          </cell>
          <cell r="BG1360" t="str">
            <v>1100</v>
          </cell>
        </row>
        <row r="1361">
          <cell r="B1361" t="str">
            <v>G263650206100100</v>
          </cell>
          <cell r="C1361" t="str">
            <v>26.京都府</v>
          </cell>
          <cell r="D1361" t="str">
            <v>365</v>
          </cell>
          <cell r="E1361" t="str">
            <v>和束町</v>
          </cell>
          <cell r="F1361" t="str">
            <v>02</v>
          </cell>
          <cell r="G1361" t="str">
            <v>特環 単独</v>
          </cell>
          <cell r="H1361" t="str">
            <v>特定環境保全公共下水道</v>
          </cell>
          <cell r="I1361" t="str">
            <v>単独</v>
          </cell>
          <cell r="J1361" t="str">
            <v>001</v>
          </cell>
          <cell r="K1361" t="str">
            <v>和束中央浄化センター</v>
          </cell>
          <cell r="M1361" t="str">
            <v>1</v>
          </cell>
          <cell r="N1361" t="str">
            <v>1</v>
          </cell>
          <cell r="Q1361">
            <v>36800</v>
          </cell>
          <cell r="R1361" t="str">
            <v>平成</v>
          </cell>
          <cell r="S1361">
            <v>12</v>
          </cell>
          <cell r="T1361">
            <v>10</v>
          </cell>
          <cell r="AB1361">
            <v>15433</v>
          </cell>
          <cell r="AC1361" t="str">
            <v>木津川（３）</v>
          </cell>
          <cell r="AD1361" t="str">
            <v>Ａ</v>
          </cell>
          <cell r="AE1361" t="str">
            <v>イ</v>
          </cell>
          <cell r="AF1361">
            <v>15</v>
          </cell>
          <cell r="AK1361" t="str">
            <v>杣田川・和束川</v>
          </cell>
          <cell r="AL1361" t="str">
            <v>西部水源</v>
          </cell>
          <cell r="AN1361">
            <v>0.5</v>
          </cell>
          <cell r="AO1361" t="str">
            <v>和束町</v>
          </cell>
          <cell r="AQ1361" t="str">
            <v/>
          </cell>
          <cell r="AR1361" t="str">
            <v>オキシディションディッチ法</v>
          </cell>
          <cell r="AS1361" t="str">
            <v>2636502001</v>
          </cell>
          <cell r="AT1361" t="str">
            <v/>
          </cell>
          <cell r="AU1361" t="str">
            <v>10</v>
          </cell>
          <cell r="AV1361" t="str">
            <v>10</v>
          </cell>
          <cell r="AW1361">
            <v>0</v>
          </cell>
          <cell r="AX1361">
            <v>0</v>
          </cell>
          <cell r="AY1361">
            <v>0</v>
          </cell>
          <cell r="AZ1361">
            <v>0</v>
          </cell>
          <cell r="BA1361">
            <v>0</v>
          </cell>
          <cell r="BD1361" t="str">
            <v/>
          </cell>
          <cell r="BE1361">
            <v>1</v>
          </cell>
          <cell r="BG1361" t="str">
            <v>1100</v>
          </cell>
        </row>
        <row r="1362">
          <cell r="B1362" t="str">
            <v>G264070206100100</v>
          </cell>
          <cell r="C1362" t="str">
            <v>26.京都府</v>
          </cell>
          <cell r="D1362" t="str">
            <v>407</v>
          </cell>
          <cell r="E1362" t="str">
            <v>京丹波町</v>
          </cell>
          <cell r="F1362" t="str">
            <v>02</v>
          </cell>
          <cell r="G1362" t="str">
            <v>特環 単独</v>
          </cell>
          <cell r="H1362" t="str">
            <v>特定環境保全公共下水道</v>
          </cell>
          <cell r="I1362" t="str">
            <v>単独</v>
          </cell>
          <cell r="J1362" t="str">
            <v>001</v>
          </cell>
          <cell r="K1362" t="str">
            <v>上豊田浄化センター</v>
          </cell>
          <cell r="M1362" t="str">
            <v>1</v>
          </cell>
          <cell r="N1362" t="str">
            <v>1</v>
          </cell>
          <cell r="Q1362">
            <v>33786</v>
          </cell>
          <cell r="R1362" t="str">
            <v>平成</v>
          </cell>
          <cell r="S1362">
            <v>4</v>
          </cell>
          <cell r="T1362">
            <v>7</v>
          </cell>
          <cell r="AB1362">
            <v>2512</v>
          </cell>
          <cell r="AC1362" t="str">
            <v>由良川</v>
          </cell>
          <cell r="AD1362" t="str">
            <v>Ａ</v>
          </cell>
          <cell r="AE1362" t="str">
            <v>イ</v>
          </cell>
          <cell r="AF1362">
            <v>15</v>
          </cell>
          <cell r="AI1362" t="str">
            <v>高屋川</v>
          </cell>
          <cell r="AK1362" t="str">
            <v>曽谷川</v>
          </cell>
          <cell r="AQ1362" t="str">
            <v/>
          </cell>
          <cell r="AR1362" t="str">
            <v>オキシディションディッチ法</v>
          </cell>
          <cell r="AS1362" t="str">
            <v>2640702001</v>
          </cell>
          <cell r="AT1362" t="str">
            <v/>
          </cell>
          <cell r="AU1362" t="str">
            <v>10</v>
          </cell>
          <cell r="AV1362" t="str">
            <v>10</v>
          </cell>
          <cell r="AW1362">
            <v>0</v>
          </cell>
          <cell r="AX1362">
            <v>0</v>
          </cell>
          <cell r="AY1362">
            <v>0</v>
          </cell>
          <cell r="AZ1362">
            <v>0</v>
          </cell>
          <cell r="BA1362">
            <v>0</v>
          </cell>
          <cell r="BD1362" t="str">
            <v/>
          </cell>
          <cell r="BE1362">
            <v>1</v>
          </cell>
          <cell r="BG1362" t="str">
            <v>1100</v>
          </cell>
        </row>
        <row r="1363">
          <cell r="B1363" t="str">
            <v>G264070206100200</v>
          </cell>
          <cell r="C1363" t="str">
            <v>26.京都府</v>
          </cell>
          <cell r="D1363" t="str">
            <v>407</v>
          </cell>
          <cell r="E1363" t="str">
            <v>京丹波町</v>
          </cell>
          <cell r="F1363" t="str">
            <v>02</v>
          </cell>
          <cell r="G1363" t="str">
            <v>特環 単独</v>
          </cell>
          <cell r="H1363" t="str">
            <v>特定環境保全公共下水道</v>
          </cell>
          <cell r="I1363" t="str">
            <v>単独</v>
          </cell>
          <cell r="J1363" t="str">
            <v>002</v>
          </cell>
          <cell r="K1363" t="str">
            <v>水戸浄化センター</v>
          </cell>
          <cell r="M1363" t="str">
            <v>1</v>
          </cell>
          <cell r="N1363" t="str">
            <v>1</v>
          </cell>
          <cell r="Q1363">
            <v>34182</v>
          </cell>
          <cell r="R1363" t="str">
            <v>平成</v>
          </cell>
          <cell r="S1363">
            <v>5</v>
          </cell>
          <cell r="T1363">
            <v>8</v>
          </cell>
          <cell r="AB1363">
            <v>1859</v>
          </cell>
          <cell r="AC1363" t="str">
            <v>由良川</v>
          </cell>
          <cell r="AD1363" t="str">
            <v>Ａ</v>
          </cell>
          <cell r="AE1363" t="str">
            <v>イ</v>
          </cell>
          <cell r="AF1363">
            <v>15</v>
          </cell>
          <cell r="AI1363" t="str">
            <v>高屋川</v>
          </cell>
          <cell r="AK1363" t="str">
            <v>須知川</v>
          </cell>
          <cell r="AQ1363" t="str">
            <v/>
          </cell>
          <cell r="AR1363" t="str">
            <v>オキシディションディッチ法</v>
          </cell>
          <cell r="AS1363" t="str">
            <v>2640702002</v>
          </cell>
          <cell r="AT1363" t="str">
            <v/>
          </cell>
          <cell r="AU1363" t="str">
            <v>10</v>
          </cell>
          <cell r="AV1363" t="str">
            <v>10</v>
          </cell>
          <cell r="AW1363">
            <v>0</v>
          </cell>
          <cell r="AX1363">
            <v>0</v>
          </cell>
          <cell r="AY1363">
            <v>0</v>
          </cell>
          <cell r="AZ1363">
            <v>0</v>
          </cell>
          <cell r="BA1363">
            <v>0</v>
          </cell>
          <cell r="BD1363" t="str">
            <v/>
          </cell>
          <cell r="BE1363">
            <v>1</v>
          </cell>
          <cell r="BG1363" t="str">
            <v>1100</v>
          </cell>
        </row>
        <row r="1364">
          <cell r="B1364" t="str">
            <v>G264070206100300</v>
          </cell>
          <cell r="C1364" t="str">
            <v>26.京都府</v>
          </cell>
          <cell r="D1364" t="str">
            <v>407</v>
          </cell>
          <cell r="E1364" t="str">
            <v>京丹波町</v>
          </cell>
          <cell r="F1364" t="str">
            <v>02</v>
          </cell>
          <cell r="G1364" t="str">
            <v>特環 単独</v>
          </cell>
          <cell r="H1364" t="str">
            <v>特定環境保全公共下水道</v>
          </cell>
          <cell r="I1364" t="str">
            <v>単独</v>
          </cell>
          <cell r="J1364" t="str">
            <v>003</v>
          </cell>
          <cell r="K1364" t="str">
            <v>瑞穂浄化センター</v>
          </cell>
          <cell r="M1364" t="str">
            <v>1</v>
          </cell>
          <cell r="N1364" t="str">
            <v>1</v>
          </cell>
          <cell r="Q1364">
            <v>35521</v>
          </cell>
          <cell r="R1364" t="str">
            <v>平成</v>
          </cell>
          <cell r="S1364">
            <v>9</v>
          </cell>
          <cell r="T1364">
            <v>4</v>
          </cell>
          <cell r="AB1364">
            <v>6162</v>
          </cell>
          <cell r="AC1364" t="str">
            <v>由良川</v>
          </cell>
          <cell r="AD1364" t="str">
            <v>Ａ</v>
          </cell>
          <cell r="AE1364" t="str">
            <v>イ</v>
          </cell>
          <cell r="AF1364">
            <v>15</v>
          </cell>
          <cell r="AI1364" t="str">
            <v>高屋川</v>
          </cell>
          <cell r="AK1364" t="str">
            <v>高屋川</v>
          </cell>
          <cell r="AQ1364" t="str">
            <v/>
          </cell>
          <cell r="AR1364" t="str">
            <v>オキシディションディッチ法</v>
          </cell>
          <cell r="AS1364" t="str">
            <v>2640702003</v>
          </cell>
          <cell r="AT1364" t="str">
            <v/>
          </cell>
          <cell r="AU1364" t="str">
            <v>10</v>
          </cell>
          <cell r="AV1364" t="str">
            <v>10</v>
          </cell>
          <cell r="AW1364">
            <v>0</v>
          </cell>
          <cell r="AX1364">
            <v>0</v>
          </cell>
          <cell r="AY1364">
            <v>0</v>
          </cell>
          <cell r="AZ1364">
            <v>0</v>
          </cell>
          <cell r="BA1364">
            <v>0</v>
          </cell>
          <cell r="BD1364" t="str">
            <v/>
          </cell>
          <cell r="BE1364">
            <v>1</v>
          </cell>
          <cell r="BG1364" t="str">
            <v>1100</v>
          </cell>
        </row>
        <row r="1365">
          <cell r="B1365" t="str">
            <v>G264070206100400</v>
          </cell>
          <cell r="C1365" t="str">
            <v>26.京都府</v>
          </cell>
          <cell r="D1365" t="str">
            <v>407</v>
          </cell>
          <cell r="E1365" t="str">
            <v>京丹波町</v>
          </cell>
          <cell r="F1365" t="str">
            <v>02</v>
          </cell>
          <cell r="G1365" t="str">
            <v>特環 単独</v>
          </cell>
          <cell r="H1365" t="str">
            <v>特定環境保全公共下水道</v>
          </cell>
          <cell r="I1365" t="str">
            <v>単独</v>
          </cell>
          <cell r="J1365" t="str">
            <v>004</v>
          </cell>
          <cell r="K1365" t="str">
            <v>下山浄化センター</v>
          </cell>
          <cell r="M1365" t="str">
            <v>1</v>
          </cell>
          <cell r="N1365" t="str">
            <v>1</v>
          </cell>
          <cell r="Q1365">
            <v>36647</v>
          </cell>
          <cell r="R1365" t="str">
            <v>平成</v>
          </cell>
          <cell r="S1365">
            <v>12</v>
          </cell>
          <cell r="T1365">
            <v>5</v>
          </cell>
          <cell r="AB1365">
            <v>3706</v>
          </cell>
          <cell r="AC1365" t="str">
            <v>由良川</v>
          </cell>
          <cell r="AD1365" t="str">
            <v>Ａ</v>
          </cell>
          <cell r="AE1365" t="str">
            <v>イ</v>
          </cell>
          <cell r="AF1365">
            <v>15</v>
          </cell>
          <cell r="AI1365" t="str">
            <v>高屋川</v>
          </cell>
          <cell r="AK1365" t="str">
            <v>高屋川</v>
          </cell>
          <cell r="AQ1365" t="str">
            <v/>
          </cell>
          <cell r="AR1365" t="str">
            <v>オキシディションディッチ法</v>
          </cell>
          <cell r="AS1365" t="str">
            <v>2640702004</v>
          </cell>
          <cell r="AT1365" t="str">
            <v/>
          </cell>
          <cell r="AU1365" t="str">
            <v>10</v>
          </cell>
          <cell r="AV1365" t="str">
            <v>10</v>
          </cell>
          <cell r="AW1365">
            <v>0</v>
          </cell>
          <cell r="AX1365">
            <v>0</v>
          </cell>
          <cell r="AY1365">
            <v>0</v>
          </cell>
          <cell r="AZ1365">
            <v>0</v>
          </cell>
          <cell r="BA1365">
            <v>0</v>
          </cell>
          <cell r="BD1365" t="str">
            <v/>
          </cell>
          <cell r="BE1365">
            <v>1</v>
          </cell>
          <cell r="BG1365" t="str">
            <v>1100</v>
          </cell>
        </row>
        <row r="1366">
          <cell r="B1366" t="str">
            <v>G270018106100100</v>
          </cell>
          <cell r="C1366" t="str">
            <v>27.大阪府</v>
          </cell>
          <cell r="D1366" t="str">
            <v>001</v>
          </cell>
          <cell r="E1366" t="str">
            <v>寝屋川流域</v>
          </cell>
          <cell r="F1366" t="str">
            <v>81</v>
          </cell>
          <cell r="G1366" t="str">
            <v>流域</v>
          </cell>
          <cell r="H1366" t="str">
            <v>流域下水道</v>
          </cell>
          <cell r="I1366" t="str">
            <v/>
          </cell>
          <cell r="J1366" t="str">
            <v>001</v>
          </cell>
          <cell r="K1366" t="str">
            <v>鴻池水みらいセンター</v>
          </cell>
          <cell r="M1366" t="str">
            <v>1</v>
          </cell>
          <cell r="N1366" t="str">
            <v>1</v>
          </cell>
          <cell r="P1366" t="str">
            <v>1</v>
          </cell>
          <cell r="Q1366">
            <v>26481</v>
          </cell>
          <cell r="R1366" t="str">
            <v>昭和</v>
          </cell>
          <cell r="S1366">
            <v>47</v>
          </cell>
          <cell r="T1366">
            <v>7</v>
          </cell>
          <cell r="AB1366">
            <v>117810</v>
          </cell>
          <cell r="AC1366" t="str">
            <v>寝屋川</v>
          </cell>
          <cell r="AD1366" t="str">
            <v>Ｄ</v>
          </cell>
          <cell r="AE1366" t="str">
            <v>ロ</v>
          </cell>
          <cell r="AF1366">
            <v>10</v>
          </cell>
          <cell r="AK1366" t="str">
            <v>第一寝屋川</v>
          </cell>
          <cell r="AQ1366" t="str">
            <v/>
          </cell>
          <cell r="AR1366" t="str">
            <v>ステップエアレーション法</v>
          </cell>
          <cell r="AS1366" t="str">
            <v>2700181001</v>
          </cell>
          <cell r="AT1366" t="str">
            <v/>
          </cell>
          <cell r="AU1366" t="str">
            <v>10</v>
          </cell>
          <cell r="AV1366" t="str">
            <v>10</v>
          </cell>
          <cell r="AW1366">
            <v>1</v>
          </cell>
          <cell r="AX1366">
            <v>0</v>
          </cell>
          <cell r="AY1366">
            <v>0</v>
          </cell>
          <cell r="AZ1366">
            <v>0</v>
          </cell>
          <cell r="BA1366">
            <v>0</v>
          </cell>
          <cell r="BD1366" t="str">
            <v/>
          </cell>
          <cell r="BE1366">
            <v>1</v>
          </cell>
          <cell r="BG1366" t="str">
            <v>1101</v>
          </cell>
        </row>
        <row r="1367">
          <cell r="B1367" t="str">
            <v>G270018106100200</v>
          </cell>
          <cell r="C1367" t="str">
            <v>27.大阪府</v>
          </cell>
          <cell r="D1367" t="str">
            <v>001</v>
          </cell>
          <cell r="E1367" t="str">
            <v>寝屋川流域</v>
          </cell>
          <cell r="F1367" t="str">
            <v>81</v>
          </cell>
          <cell r="G1367" t="str">
            <v>流域</v>
          </cell>
          <cell r="H1367" t="str">
            <v>流域下水道</v>
          </cell>
          <cell r="I1367" t="str">
            <v/>
          </cell>
          <cell r="J1367" t="str">
            <v>002</v>
          </cell>
          <cell r="K1367" t="str">
            <v>川俣水みらいセンター</v>
          </cell>
          <cell r="M1367" t="str">
            <v>1</v>
          </cell>
          <cell r="N1367" t="str">
            <v>1</v>
          </cell>
          <cell r="P1367" t="str">
            <v>1</v>
          </cell>
          <cell r="Q1367">
            <v>26481</v>
          </cell>
          <cell r="R1367" t="str">
            <v>昭和</v>
          </cell>
          <cell r="S1367">
            <v>47</v>
          </cell>
          <cell r="T1367">
            <v>7</v>
          </cell>
          <cell r="U1367" t="str">
            <v>名称変更</v>
          </cell>
          <cell r="V1367">
            <v>38930</v>
          </cell>
          <cell r="W1367" t="str">
            <v>平成</v>
          </cell>
          <cell r="X1367">
            <v>18</v>
          </cell>
          <cell r="Y1367">
            <v>8</v>
          </cell>
          <cell r="Z1367" t="str">
            <v>川俣処理場</v>
          </cell>
          <cell r="AB1367">
            <v>91300</v>
          </cell>
          <cell r="AC1367" t="str">
            <v>寝屋川</v>
          </cell>
          <cell r="AD1367" t="str">
            <v>Ｄ</v>
          </cell>
          <cell r="AE1367" t="str">
            <v>ハ</v>
          </cell>
          <cell r="AF1367">
            <v>15</v>
          </cell>
          <cell r="AK1367" t="str">
            <v>第二寝屋川</v>
          </cell>
          <cell r="AQ1367" t="str">
            <v/>
          </cell>
          <cell r="AR1367" t="str">
            <v>ステップエアレーション法</v>
          </cell>
          <cell r="AS1367" t="str">
            <v>2700181002</v>
          </cell>
          <cell r="AT1367" t="str">
            <v/>
          </cell>
          <cell r="AU1367" t="str">
            <v>10</v>
          </cell>
          <cell r="AV1367" t="str">
            <v>10</v>
          </cell>
          <cell r="AW1367">
            <v>1</v>
          </cell>
          <cell r="AX1367">
            <v>0</v>
          </cell>
          <cell r="AY1367">
            <v>0</v>
          </cell>
          <cell r="AZ1367">
            <v>0</v>
          </cell>
          <cell r="BA1367">
            <v>0</v>
          </cell>
          <cell r="BD1367" t="str">
            <v/>
          </cell>
          <cell r="BE1367">
            <v>1</v>
          </cell>
          <cell r="BG1367" t="str">
            <v>1101</v>
          </cell>
        </row>
        <row r="1368">
          <cell r="B1368" t="str">
            <v>G270018106100300</v>
          </cell>
          <cell r="C1368" t="str">
            <v>27.大阪府</v>
          </cell>
          <cell r="D1368" t="str">
            <v>001</v>
          </cell>
          <cell r="E1368" t="str">
            <v>寝屋川流域</v>
          </cell>
          <cell r="F1368" t="str">
            <v>81</v>
          </cell>
          <cell r="G1368" t="str">
            <v>流域</v>
          </cell>
          <cell r="H1368" t="str">
            <v>流域下水道</v>
          </cell>
          <cell r="I1368" t="str">
            <v/>
          </cell>
          <cell r="J1368" t="str">
            <v>003</v>
          </cell>
          <cell r="K1368" t="str">
            <v>なわて水みらいセンター</v>
          </cell>
          <cell r="M1368" t="str">
            <v>1</v>
          </cell>
          <cell r="P1368" t="str">
            <v>1</v>
          </cell>
          <cell r="Q1368">
            <v>40422</v>
          </cell>
          <cell r="R1368" t="str">
            <v>平成</v>
          </cell>
          <cell r="S1368">
            <v>22</v>
          </cell>
          <cell r="T1368">
            <v>9</v>
          </cell>
          <cell r="AB1368">
            <v>66500</v>
          </cell>
          <cell r="AC1368" t="str">
            <v>寝屋川</v>
          </cell>
          <cell r="AD1368" t="str">
            <v>Ｃ</v>
          </cell>
          <cell r="AE1368" t="str">
            <v>イ</v>
          </cell>
          <cell r="AF1368">
            <v>10</v>
          </cell>
          <cell r="AG1368">
            <v>10</v>
          </cell>
          <cell r="AH1368">
            <v>1</v>
          </cell>
          <cell r="AK1368" t="str">
            <v>岡部川</v>
          </cell>
          <cell r="AQ1368" t="str">
            <v/>
          </cell>
          <cell r="AR1368" t="str">
            <v>嫌気無酸素好気法</v>
          </cell>
          <cell r="AS1368" t="str">
            <v>2700181003</v>
          </cell>
          <cell r="AT1368" t="str">
            <v/>
          </cell>
          <cell r="AU1368" t="str">
            <v>00</v>
          </cell>
          <cell r="AV1368" t="str">
            <v>00</v>
          </cell>
          <cell r="AW1368">
            <v>1</v>
          </cell>
          <cell r="AX1368">
            <v>0</v>
          </cell>
          <cell r="AY1368">
            <v>0</v>
          </cell>
          <cell r="AZ1368">
            <v>0</v>
          </cell>
          <cell r="BA1368">
            <v>0</v>
          </cell>
          <cell r="BD1368" t="str">
            <v/>
          </cell>
          <cell r="BE1368">
            <v>1</v>
          </cell>
          <cell r="BG1368" t="str">
            <v>1001</v>
          </cell>
        </row>
        <row r="1369">
          <cell r="B1369" t="str">
            <v>G270018106100400</v>
          </cell>
          <cell r="C1369" t="str">
            <v>27.大阪府</v>
          </cell>
          <cell r="D1369" t="str">
            <v>001</v>
          </cell>
          <cell r="E1369" t="str">
            <v>寝屋川流域</v>
          </cell>
          <cell r="F1369" t="str">
            <v>81</v>
          </cell>
          <cell r="G1369" t="str">
            <v>流域</v>
          </cell>
          <cell r="H1369" t="str">
            <v>流域下水道</v>
          </cell>
          <cell r="I1369" t="str">
            <v/>
          </cell>
          <cell r="J1369" t="str">
            <v>004</v>
          </cell>
          <cell r="K1369" t="str">
            <v>竜華水みらいセンター</v>
          </cell>
          <cell r="M1369" t="str">
            <v>1</v>
          </cell>
          <cell r="P1369" t="str">
            <v>1</v>
          </cell>
          <cell r="Q1369">
            <v>40483</v>
          </cell>
          <cell r="R1369" t="str">
            <v>平成</v>
          </cell>
          <cell r="S1369">
            <v>22</v>
          </cell>
          <cell r="T1369">
            <v>11</v>
          </cell>
          <cell r="AB1369">
            <v>42000</v>
          </cell>
          <cell r="AC1369" t="str">
            <v>平野川</v>
          </cell>
          <cell r="AD1369" t="str">
            <v>Ｄ</v>
          </cell>
          <cell r="AE1369" t="str">
            <v>ロ</v>
          </cell>
          <cell r="AF1369">
            <v>10</v>
          </cell>
          <cell r="AG1369">
            <v>20</v>
          </cell>
          <cell r="AH1369">
            <v>3</v>
          </cell>
          <cell r="AK1369" t="str">
            <v>平野川</v>
          </cell>
          <cell r="AQ1369" t="str">
            <v/>
          </cell>
          <cell r="AR1369" t="str">
            <v>ステップ流入式多段硝化脱窒法</v>
          </cell>
          <cell r="AS1369" t="str">
            <v>2700181004</v>
          </cell>
          <cell r="AT1369" t="str">
            <v/>
          </cell>
          <cell r="AU1369" t="str">
            <v>00</v>
          </cell>
          <cell r="AV1369" t="str">
            <v>00</v>
          </cell>
          <cell r="AW1369">
            <v>1</v>
          </cell>
          <cell r="AX1369">
            <v>0</v>
          </cell>
          <cell r="AY1369">
            <v>0</v>
          </cell>
          <cell r="AZ1369">
            <v>0</v>
          </cell>
          <cell r="BA1369">
            <v>0</v>
          </cell>
          <cell r="BD1369" t="str">
            <v/>
          </cell>
          <cell r="BE1369">
            <v>1</v>
          </cell>
          <cell r="BG1369" t="str">
            <v>1001</v>
          </cell>
        </row>
        <row r="1370">
          <cell r="B1370" t="str">
            <v>G270028106100100</v>
          </cell>
          <cell r="C1370" t="str">
            <v>27.大阪府</v>
          </cell>
          <cell r="D1370" t="str">
            <v>002</v>
          </cell>
          <cell r="E1370" t="str">
            <v>安威川流域</v>
          </cell>
          <cell r="F1370" t="str">
            <v>81</v>
          </cell>
          <cell r="G1370" t="str">
            <v>流域</v>
          </cell>
          <cell r="H1370" t="str">
            <v>流域下水道</v>
          </cell>
          <cell r="I1370" t="str">
            <v/>
          </cell>
          <cell r="J1370" t="str">
            <v>001</v>
          </cell>
          <cell r="K1370" t="str">
            <v>中央水みらいセンター</v>
          </cell>
          <cell r="M1370" t="str">
            <v>1</v>
          </cell>
          <cell r="N1370" t="str">
            <v>1</v>
          </cell>
          <cell r="O1370" t="str">
            <v>1</v>
          </cell>
          <cell r="P1370" t="str">
            <v>1</v>
          </cell>
          <cell r="Q1370">
            <v>25628</v>
          </cell>
          <cell r="R1370" t="str">
            <v>昭和</v>
          </cell>
          <cell r="S1370">
            <v>45</v>
          </cell>
          <cell r="T1370">
            <v>3</v>
          </cell>
          <cell r="AB1370">
            <v>225880</v>
          </cell>
          <cell r="AC1370" t="str">
            <v>安威川下流（2）</v>
          </cell>
          <cell r="AD1370" t="str">
            <v>Ａ</v>
          </cell>
          <cell r="AE1370" t="str">
            <v>イ</v>
          </cell>
          <cell r="AF1370">
            <v>15</v>
          </cell>
          <cell r="AK1370" t="str">
            <v>安威川</v>
          </cell>
          <cell r="AQ1370" t="str">
            <v/>
          </cell>
          <cell r="AR1370" t="str">
            <v>標準活性汚泥法</v>
          </cell>
          <cell r="AS1370" t="str">
            <v>2700281001</v>
          </cell>
          <cell r="AT1370" t="str">
            <v/>
          </cell>
          <cell r="AU1370" t="str">
            <v>11</v>
          </cell>
          <cell r="AV1370" t="str">
            <v>11</v>
          </cell>
          <cell r="AW1370">
            <v>1</v>
          </cell>
          <cell r="AX1370">
            <v>0</v>
          </cell>
          <cell r="AY1370">
            <v>0</v>
          </cell>
          <cell r="AZ1370">
            <v>0</v>
          </cell>
          <cell r="BA1370">
            <v>0</v>
          </cell>
          <cell r="BD1370" t="str">
            <v/>
          </cell>
          <cell r="BE1370">
            <v>1</v>
          </cell>
          <cell r="BG1370" t="str">
            <v>1111</v>
          </cell>
        </row>
        <row r="1371">
          <cell r="B1371" t="str">
            <v>G270038106100100</v>
          </cell>
          <cell r="C1371" t="str">
            <v>27.大阪府</v>
          </cell>
          <cell r="D1371" t="str">
            <v>003</v>
          </cell>
          <cell r="E1371" t="str">
            <v>淀川左岸流域</v>
          </cell>
          <cell r="F1371" t="str">
            <v>81</v>
          </cell>
          <cell r="G1371" t="str">
            <v>流域</v>
          </cell>
          <cell r="H1371" t="str">
            <v>流域下水道</v>
          </cell>
          <cell r="I1371" t="str">
            <v/>
          </cell>
          <cell r="J1371" t="str">
            <v>001</v>
          </cell>
          <cell r="K1371" t="str">
            <v>渚水みらいセンター</v>
          </cell>
          <cell r="M1371" t="str">
            <v>1</v>
          </cell>
          <cell r="N1371" t="str">
            <v>1</v>
          </cell>
          <cell r="O1371" t="str">
            <v>1</v>
          </cell>
          <cell r="P1371" t="str">
            <v>1</v>
          </cell>
          <cell r="Q1371">
            <v>32599</v>
          </cell>
          <cell r="R1371" t="str">
            <v>平成</v>
          </cell>
          <cell r="S1371">
            <v>1</v>
          </cell>
          <cell r="T1371">
            <v>4</v>
          </cell>
          <cell r="AB1371">
            <v>264196</v>
          </cell>
          <cell r="AC1371" t="str">
            <v>寝屋川</v>
          </cell>
          <cell r="AD1371" t="str">
            <v>Ｃ</v>
          </cell>
          <cell r="AE1371" t="str">
            <v>イ</v>
          </cell>
          <cell r="AF1371">
            <v>10</v>
          </cell>
          <cell r="AG1371">
            <v>11</v>
          </cell>
          <cell r="AH1371">
            <v>1.2</v>
          </cell>
          <cell r="AI1371" t="str">
            <v>二十箇水路</v>
          </cell>
          <cell r="AK1371" t="str">
            <v>寝屋川</v>
          </cell>
          <cell r="AQ1371" t="str">
            <v/>
          </cell>
          <cell r="AR1371" t="str">
            <v>嫌気無酸素好気法</v>
          </cell>
          <cell r="AS1371" t="str">
            <v>2700381001</v>
          </cell>
          <cell r="AT1371" t="str">
            <v/>
          </cell>
          <cell r="AU1371" t="str">
            <v>11</v>
          </cell>
          <cell r="AV1371" t="str">
            <v>11</v>
          </cell>
          <cell r="AW1371">
            <v>1</v>
          </cell>
          <cell r="AX1371">
            <v>0</v>
          </cell>
          <cell r="AY1371">
            <v>0</v>
          </cell>
          <cell r="AZ1371">
            <v>0</v>
          </cell>
          <cell r="BA1371">
            <v>0</v>
          </cell>
          <cell r="BD1371" t="str">
            <v/>
          </cell>
          <cell r="BE1371">
            <v>1</v>
          </cell>
          <cell r="BG1371" t="str">
            <v>1111</v>
          </cell>
        </row>
        <row r="1372">
          <cell r="B1372" t="str">
            <v>G270048106100100</v>
          </cell>
          <cell r="C1372" t="str">
            <v>27.大阪府</v>
          </cell>
          <cell r="D1372" t="str">
            <v>004</v>
          </cell>
          <cell r="E1372" t="str">
            <v>淀川右岸流域</v>
          </cell>
          <cell r="F1372" t="str">
            <v>81</v>
          </cell>
          <cell r="G1372" t="str">
            <v>流域</v>
          </cell>
          <cell r="H1372" t="str">
            <v>流域下水道</v>
          </cell>
          <cell r="I1372" t="str">
            <v/>
          </cell>
          <cell r="J1372" t="str">
            <v>001</v>
          </cell>
          <cell r="K1372" t="str">
            <v>高槻水みらいセンター</v>
          </cell>
          <cell r="M1372" t="str">
            <v>1</v>
          </cell>
          <cell r="N1372" t="str">
            <v>1</v>
          </cell>
          <cell r="O1372" t="str">
            <v>1</v>
          </cell>
          <cell r="P1372" t="str">
            <v>1</v>
          </cell>
          <cell r="Q1372">
            <v>27576</v>
          </cell>
          <cell r="R1372" t="str">
            <v>昭和</v>
          </cell>
          <cell r="S1372">
            <v>50</v>
          </cell>
          <cell r="T1372">
            <v>7</v>
          </cell>
          <cell r="AB1372">
            <v>321780</v>
          </cell>
          <cell r="AC1372" t="str">
            <v>神崎川</v>
          </cell>
          <cell r="AD1372" t="str">
            <v>Ｅ</v>
          </cell>
          <cell r="AE1372" t="str">
            <v>ハ</v>
          </cell>
          <cell r="AF1372">
            <v>15</v>
          </cell>
          <cell r="AK1372" t="str">
            <v>神崎川</v>
          </cell>
          <cell r="AQ1372" t="str">
            <v/>
          </cell>
          <cell r="AR1372" t="str">
            <v>標準活性汚泥法</v>
          </cell>
          <cell r="AS1372" t="str">
            <v>2700481001</v>
          </cell>
          <cell r="AT1372" t="str">
            <v/>
          </cell>
          <cell r="AU1372" t="str">
            <v>11</v>
          </cell>
          <cell r="AV1372" t="str">
            <v>11</v>
          </cell>
          <cell r="AW1372">
            <v>1</v>
          </cell>
          <cell r="AX1372">
            <v>0</v>
          </cell>
          <cell r="AY1372">
            <v>0</v>
          </cell>
          <cell r="AZ1372">
            <v>0</v>
          </cell>
          <cell r="BA1372">
            <v>0</v>
          </cell>
          <cell r="BD1372" t="str">
            <v/>
          </cell>
          <cell r="BE1372">
            <v>1</v>
          </cell>
          <cell r="BG1372" t="str">
            <v>1111</v>
          </cell>
        </row>
        <row r="1373">
          <cell r="B1373" t="str">
            <v>G270058106100100</v>
          </cell>
          <cell r="C1373" t="str">
            <v>27.大阪府</v>
          </cell>
          <cell r="D1373" t="str">
            <v>005</v>
          </cell>
          <cell r="E1373" t="str">
            <v>猪名川流域</v>
          </cell>
          <cell r="F1373" t="str">
            <v>81</v>
          </cell>
          <cell r="G1373" t="str">
            <v>流域</v>
          </cell>
          <cell r="H1373" t="str">
            <v>流域下水道</v>
          </cell>
          <cell r="I1373" t="str">
            <v/>
          </cell>
          <cell r="J1373" t="str">
            <v>001</v>
          </cell>
          <cell r="K1373" t="str">
            <v>原田処理場</v>
          </cell>
          <cell r="M1373" t="str">
            <v>1</v>
          </cell>
          <cell r="N1373" t="str">
            <v>1</v>
          </cell>
          <cell r="O1373" t="str">
            <v>1</v>
          </cell>
          <cell r="P1373" t="str">
            <v>1</v>
          </cell>
          <cell r="Q1373">
            <v>24198</v>
          </cell>
          <cell r="R1373" t="str">
            <v>昭和</v>
          </cell>
          <cell r="S1373">
            <v>41</v>
          </cell>
          <cell r="T1373">
            <v>4</v>
          </cell>
          <cell r="AB1373">
            <v>316800</v>
          </cell>
          <cell r="AC1373" t="str">
            <v>猪名川下流</v>
          </cell>
          <cell r="AD1373" t="str">
            <v>Ｄ</v>
          </cell>
          <cell r="AE1373" t="str">
            <v>イ</v>
          </cell>
          <cell r="AF1373">
            <v>15</v>
          </cell>
          <cell r="AK1373" t="str">
            <v>猪名川</v>
          </cell>
          <cell r="AL1373" t="str">
            <v>北村</v>
          </cell>
          <cell r="AM1373">
            <v>4.5</v>
          </cell>
          <cell r="AO1373" t="str">
            <v>伊丹市</v>
          </cell>
          <cell r="AQ1373" t="str">
            <v/>
          </cell>
          <cell r="AR1373" t="str">
            <v>嫌気無酸素好気法</v>
          </cell>
          <cell r="AS1373" t="str">
            <v>2700581001</v>
          </cell>
          <cell r="AT1373" t="str">
            <v/>
          </cell>
          <cell r="AU1373" t="str">
            <v>11</v>
          </cell>
          <cell r="AV1373" t="str">
            <v>11</v>
          </cell>
          <cell r="AW1373">
            <v>1</v>
          </cell>
          <cell r="AX1373">
            <v>0</v>
          </cell>
          <cell r="AY1373">
            <v>0</v>
          </cell>
          <cell r="AZ1373">
            <v>0</v>
          </cell>
          <cell r="BA1373">
            <v>0</v>
          </cell>
          <cell r="BD1373" t="str">
            <v/>
          </cell>
          <cell r="BE1373">
            <v>1</v>
          </cell>
          <cell r="BG1373" t="str">
            <v>1111</v>
          </cell>
        </row>
        <row r="1374">
          <cell r="B1374" t="str">
            <v>G270068106100100</v>
          </cell>
          <cell r="C1374" t="str">
            <v>27.大阪府</v>
          </cell>
          <cell r="D1374" t="str">
            <v>006</v>
          </cell>
          <cell r="E1374" t="str">
            <v>大和川下流流域</v>
          </cell>
          <cell r="F1374" t="str">
            <v>81</v>
          </cell>
          <cell r="G1374" t="str">
            <v>流域</v>
          </cell>
          <cell r="H1374" t="str">
            <v>流域下水道</v>
          </cell>
          <cell r="I1374" t="str">
            <v/>
          </cell>
          <cell r="J1374" t="str">
            <v>001</v>
          </cell>
          <cell r="K1374" t="str">
            <v>狭山水みらいセンター</v>
          </cell>
          <cell r="M1374" t="str">
            <v>1</v>
          </cell>
          <cell r="N1374" t="str">
            <v>1</v>
          </cell>
          <cell r="O1374" t="str">
            <v>1</v>
          </cell>
          <cell r="P1374" t="str">
            <v>1</v>
          </cell>
          <cell r="Q1374">
            <v>29403</v>
          </cell>
          <cell r="R1374" t="str">
            <v>昭和</v>
          </cell>
          <cell r="S1374">
            <v>55</v>
          </cell>
          <cell r="T1374">
            <v>7</v>
          </cell>
          <cell r="AB1374">
            <v>101600</v>
          </cell>
          <cell r="AC1374" t="str">
            <v>西除川（２）</v>
          </cell>
          <cell r="AD1374" t="str">
            <v>Ｄ</v>
          </cell>
          <cell r="AE1374" t="str">
            <v>ロ</v>
          </cell>
          <cell r="AF1374">
            <v>10</v>
          </cell>
          <cell r="AG1374">
            <v>20</v>
          </cell>
          <cell r="AH1374">
            <v>3</v>
          </cell>
          <cell r="AK1374" t="str">
            <v>東除川</v>
          </cell>
          <cell r="AQ1374" t="str">
            <v/>
          </cell>
          <cell r="AR1374" t="str">
            <v>嫌気無酸素好気法</v>
          </cell>
          <cell r="AS1374" t="str">
            <v>2700681001</v>
          </cell>
          <cell r="AT1374" t="str">
            <v/>
          </cell>
          <cell r="AU1374" t="str">
            <v>11</v>
          </cell>
          <cell r="AV1374" t="str">
            <v>10</v>
          </cell>
          <cell r="AW1374">
            <v>1</v>
          </cell>
          <cell r="AX1374">
            <v>0</v>
          </cell>
          <cell r="AY1374">
            <v>-1</v>
          </cell>
          <cell r="AZ1374">
            <v>0</v>
          </cell>
          <cell r="BA1374">
            <v>1</v>
          </cell>
          <cell r="BC1374" t="str">
            <v>建設資材休止</v>
          </cell>
          <cell r="BD1374" t="str">
            <v>建設資材休止</v>
          </cell>
          <cell r="BE1374">
            <v>1</v>
          </cell>
          <cell r="BG1374" t="str">
            <v>1111</v>
          </cell>
        </row>
        <row r="1375">
          <cell r="B1375" t="str">
            <v>G270068106100200</v>
          </cell>
          <cell r="C1375" t="str">
            <v>27.大阪府</v>
          </cell>
          <cell r="D1375" t="str">
            <v>006</v>
          </cell>
          <cell r="E1375" t="str">
            <v>大和川下流流域</v>
          </cell>
          <cell r="F1375" t="str">
            <v>81</v>
          </cell>
          <cell r="G1375" t="str">
            <v>流域</v>
          </cell>
          <cell r="H1375" t="str">
            <v>流域下水道</v>
          </cell>
          <cell r="I1375" t="str">
            <v/>
          </cell>
          <cell r="J1375" t="str">
            <v>002</v>
          </cell>
          <cell r="K1375" t="str">
            <v>今池水みらいセンター</v>
          </cell>
          <cell r="M1375" t="str">
            <v>1</v>
          </cell>
          <cell r="N1375" t="str">
            <v>1</v>
          </cell>
          <cell r="P1375" t="str">
            <v>1</v>
          </cell>
          <cell r="Q1375">
            <v>31199</v>
          </cell>
          <cell r="R1375" t="str">
            <v>昭和</v>
          </cell>
          <cell r="S1375">
            <v>60</v>
          </cell>
          <cell r="T1375">
            <v>6</v>
          </cell>
          <cell r="AB1375">
            <v>281980</v>
          </cell>
          <cell r="AC1375" t="str">
            <v>西除川</v>
          </cell>
          <cell r="AD1375" t="str">
            <v>Ｄ</v>
          </cell>
          <cell r="AE1375" t="str">
            <v>ロ</v>
          </cell>
          <cell r="AF1375">
            <v>10</v>
          </cell>
          <cell r="AG1375">
            <v>20</v>
          </cell>
          <cell r="AH1375">
            <v>3</v>
          </cell>
          <cell r="AK1375" t="str">
            <v>西除川</v>
          </cell>
          <cell r="AQ1375" t="str">
            <v/>
          </cell>
          <cell r="AR1375" t="str">
            <v>嫌気無酸素好気法</v>
          </cell>
          <cell r="AS1375" t="str">
            <v>2700681002</v>
          </cell>
          <cell r="AT1375" t="str">
            <v/>
          </cell>
          <cell r="AU1375" t="str">
            <v>10</v>
          </cell>
          <cell r="AV1375" t="str">
            <v>10</v>
          </cell>
          <cell r="AW1375">
            <v>1</v>
          </cell>
          <cell r="AX1375">
            <v>0</v>
          </cell>
          <cell r="AY1375">
            <v>0</v>
          </cell>
          <cell r="AZ1375">
            <v>0</v>
          </cell>
          <cell r="BA1375">
            <v>0</v>
          </cell>
          <cell r="BD1375" t="str">
            <v/>
          </cell>
          <cell r="BE1375">
            <v>1</v>
          </cell>
          <cell r="BG1375" t="str">
            <v>1101</v>
          </cell>
        </row>
        <row r="1376">
          <cell r="B1376" t="str">
            <v>G270068106100300</v>
          </cell>
          <cell r="C1376" t="str">
            <v>27.大阪府</v>
          </cell>
          <cell r="D1376" t="str">
            <v>006</v>
          </cell>
          <cell r="E1376" t="str">
            <v>大和川下流流域</v>
          </cell>
          <cell r="F1376" t="str">
            <v>81</v>
          </cell>
          <cell r="G1376" t="str">
            <v>流域</v>
          </cell>
          <cell r="H1376" t="str">
            <v>流域下水道</v>
          </cell>
          <cell r="I1376" t="str">
            <v/>
          </cell>
          <cell r="J1376" t="str">
            <v>003</v>
          </cell>
          <cell r="K1376" t="str">
            <v>大井水みらいセンター</v>
          </cell>
          <cell r="M1376" t="str">
            <v>1</v>
          </cell>
          <cell r="N1376" t="str">
            <v>1</v>
          </cell>
          <cell r="P1376" t="str">
            <v>1</v>
          </cell>
          <cell r="Q1376">
            <v>35278</v>
          </cell>
          <cell r="R1376" t="str">
            <v>平成</v>
          </cell>
          <cell r="S1376">
            <v>8</v>
          </cell>
          <cell r="T1376">
            <v>8</v>
          </cell>
          <cell r="AB1376">
            <v>145040</v>
          </cell>
          <cell r="AC1376" t="str">
            <v>大和川中流</v>
          </cell>
          <cell r="AD1376" t="str">
            <v>Ｃ</v>
          </cell>
          <cell r="AE1376" t="str">
            <v>ハ</v>
          </cell>
          <cell r="AF1376">
            <v>10</v>
          </cell>
          <cell r="AG1376">
            <v>20</v>
          </cell>
          <cell r="AH1376">
            <v>3</v>
          </cell>
          <cell r="AI1376" t="str">
            <v>大水川</v>
          </cell>
          <cell r="AK1376" t="str">
            <v>西除川</v>
          </cell>
          <cell r="AQ1376" t="str">
            <v/>
          </cell>
          <cell r="AR1376" t="str">
            <v>嫌気無酸素好気法</v>
          </cell>
          <cell r="AS1376" t="str">
            <v>2700681003</v>
          </cell>
          <cell r="AT1376" t="str">
            <v/>
          </cell>
          <cell r="AU1376" t="str">
            <v>10</v>
          </cell>
          <cell r="AV1376" t="str">
            <v>10</v>
          </cell>
          <cell r="AW1376">
            <v>1</v>
          </cell>
          <cell r="AX1376">
            <v>0</v>
          </cell>
          <cell r="AY1376">
            <v>0</v>
          </cell>
          <cell r="AZ1376">
            <v>0</v>
          </cell>
          <cell r="BA1376">
            <v>0</v>
          </cell>
          <cell r="BD1376" t="str">
            <v/>
          </cell>
          <cell r="BE1376">
            <v>1</v>
          </cell>
          <cell r="BG1376" t="str">
            <v>1101</v>
          </cell>
        </row>
        <row r="1377">
          <cell r="B1377" t="str">
            <v>G270078106100100</v>
          </cell>
          <cell r="C1377" t="str">
            <v>27.大阪府</v>
          </cell>
          <cell r="D1377" t="str">
            <v>007</v>
          </cell>
          <cell r="E1377" t="str">
            <v>南大阪湾岸流域</v>
          </cell>
          <cell r="F1377" t="str">
            <v>81</v>
          </cell>
          <cell r="G1377" t="str">
            <v>流域</v>
          </cell>
          <cell r="H1377" t="str">
            <v>流域下水道</v>
          </cell>
          <cell r="I1377" t="str">
            <v/>
          </cell>
          <cell r="J1377" t="str">
            <v>001</v>
          </cell>
          <cell r="K1377" t="str">
            <v>北部水みらいセンター</v>
          </cell>
          <cell r="M1377" t="str">
            <v>1</v>
          </cell>
          <cell r="N1377" t="str">
            <v>1</v>
          </cell>
          <cell r="P1377" t="str">
            <v>1</v>
          </cell>
          <cell r="Q1377">
            <v>31778</v>
          </cell>
          <cell r="R1377" t="str">
            <v>昭和</v>
          </cell>
          <cell r="S1377">
            <v>62</v>
          </cell>
          <cell r="T1377">
            <v>1</v>
          </cell>
          <cell r="AB1377">
            <v>444370</v>
          </cell>
          <cell r="AC1377" t="str">
            <v>大阪湾(1)</v>
          </cell>
          <cell r="AD1377" t="str">
            <v>ｃ</v>
          </cell>
          <cell r="AE1377" t="str">
            <v>イ</v>
          </cell>
          <cell r="AF1377">
            <v>10</v>
          </cell>
          <cell r="AG1377">
            <v>20</v>
          </cell>
          <cell r="AH1377">
            <v>3</v>
          </cell>
          <cell r="AI1377" t="str">
            <v>大阪湾</v>
          </cell>
          <cell r="AQ1377" t="str">
            <v/>
          </cell>
          <cell r="AR1377" t="str">
            <v>循環式硝化脱窒法</v>
          </cell>
          <cell r="AS1377" t="str">
            <v>2700781001</v>
          </cell>
          <cell r="AT1377" t="str">
            <v/>
          </cell>
          <cell r="AU1377" t="str">
            <v>10</v>
          </cell>
          <cell r="AV1377" t="str">
            <v>10</v>
          </cell>
          <cell r="AW1377">
            <v>1</v>
          </cell>
          <cell r="AX1377">
            <v>0</v>
          </cell>
          <cell r="AY1377">
            <v>0</v>
          </cell>
          <cell r="AZ1377">
            <v>0</v>
          </cell>
          <cell r="BA1377">
            <v>0</v>
          </cell>
          <cell r="BD1377" t="str">
            <v/>
          </cell>
          <cell r="BE1377">
            <v>1</v>
          </cell>
          <cell r="BG1377" t="str">
            <v>1101</v>
          </cell>
        </row>
        <row r="1378">
          <cell r="B1378" t="str">
            <v>G270078106100200</v>
          </cell>
          <cell r="C1378" t="str">
            <v>27.大阪府</v>
          </cell>
          <cell r="D1378" t="str">
            <v>007</v>
          </cell>
          <cell r="E1378" t="str">
            <v>南大阪湾岸流域</v>
          </cell>
          <cell r="F1378" t="str">
            <v>81</v>
          </cell>
          <cell r="G1378" t="str">
            <v>流域</v>
          </cell>
          <cell r="H1378" t="str">
            <v>流域下水道</v>
          </cell>
          <cell r="I1378" t="str">
            <v/>
          </cell>
          <cell r="J1378" t="str">
            <v>002</v>
          </cell>
          <cell r="K1378" t="str">
            <v>中部水みらいセンター</v>
          </cell>
          <cell r="M1378" t="str">
            <v>1</v>
          </cell>
          <cell r="P1378" t="str">
            <v>1</v>
          </cell>
          <cell r="Q1378">
            <v>32599</v>
          </cell>
          <cell r="R1378" t="str">
            <v>平成</v>
          </cell>
          <cell r="S1378">
            <v>1</v>
          </cell>
          <cell r="T1378">
            <v>4</v>
          </cell>
          <cell r="AB1378">
            <v>300000</v>
          </cell>
          <cell r="AC1378" t="str">
            <v>大阪湾</v>
          </cell>
          <cell r="AD1378" t="str">
            <v>Ｃ</v>
          </cell>
          <cell r="AE1378" t="str">
            <v>イ</v>
          </cell>
          <cell r="AF1378">
            <v>5</v>
          </cell>
          <cell r="AG1378">
            <v>8</v>
          </cell>
          <cell r="AH1378">
            <v>0.8</v>
          </cell>
          <cell r="AI1378" t="str">
            <v>大阪湾</v>
          </cell>
          <cell r="AQ1378" t="str">
            <v/>
          </cell>
          <cell r="AR1378" t="str">
            <v>嫌気無酸素好気法</v>
          </cell>
          <cell r="AS1378" t="str">
            <v>2700781002</v>
          </cell>
          <cell r="AT1378" t="str">
            <v/>
          </cell>
          <cell r="AU1378" t="str">
            <v>00</v>
          </cell>
          <cell r="AV1378" t="str">
            <v>00</v>
          </cell>
          <cell r="AW1378">
            <v>1</v>
          </cell>
          <cell r="AX1378">
            <v>0</v>
          </cell>
          <cell r="AY1378">
            <v>0</v>
          </cell>
          <cell r="AZ1378">
            <v>0</v>
          </cell>
          <cell r="BA1378">
            <v>0</v>
          </cell>
          <cell r="BD1378" t="str">
            <v/>
          </cell>
          <cell r="BE1378">
            <v>1</v>
          </cell>
          <cell r="BG1378" t="str">
            <v>1001</v>
          </cell>
        </row>
        <row r="1379">
          <cell r="B1379" t="str">
            <v>G270078106100300</v>
          </cell>
          <cell r="C1379" t="str">
            <v>27.大阪府</v>
          </cell>
          <cell r="D1379" t="str">
            <v>007</v>
          </cell>
          <cell r="E1379" t="str">
            <v>南大阪湾岸流域</v>
          </cell>
          <cell r="F1379" t="str">
            <v>81</v>
          </cell>
          <cell r="G1379" t="str">
            <v>流域</v>
          </cell>
          <cell r="H1379" t="str">
            <v>流域下水道</v>
          </cell>
          <cell r="I1379" t="str">
            <v/>
          </cell>
          <cell r="J1379" t="str">
            <v>003</v>
          </cell>
          <cell r="K1379" t="str">
            <v>南部水みらいセンター</v>
          </cell>
          <cell r="M1379" t="str">
            <v>1</v>
          </cell>
          <cell r="N1379" t="str">
            <v>1</v>
          </cell>
          <cell r="P1379" t="str">
            <v>1</v>
          </cell>
          <cell r="Q1379">
            <v>34151</v>
          </cell>
          <cell r="R1379" t="str">
            <v>平成</v>
          </cell>
          <cell r="S1379">
            <v>5</v>
          </cell>
          <cell r="T1379">
            <v>7</v>
          </cell>
          <cell r="AB1379">
            <v>149600</v>
          </cell>
          <cell r="AC1379" t="str">
            <v>大阪湾</v>
          </cell>
          <cell r="AD1379" t="str">
            <v>Ａ</v>
          </cell>
          <cell r="AE1379" t="str">
            <v>ハ</v>
          </cell>
          <cell r="AF1379">
            <v>10</v>
          </cell>
          <cell r="AG1379">
            <v>20</v>
          </cell>
          <cell r="AH1379">
            <v>3</v>
          </cell>
          <cell r="AI1379" t="str">
            <v>大阪湾　A</v>
          </cell>
          <cell r="AQ1379" t="str">
            <v/>
          </cell>
          <cell r="AR1379" t="str">
            <v>嫌気無酸素好気法</v>
          </cell>
          <cell r="AS1379" t="str">
            <v>2700781003</v>
          </cell>
          <cell r="AT1379" t="str">
            <v/>
          </cell>
          <cell r="AU1379" t="str">
            <v>10</v>
          </cell>
          <cell r="AV1379" t="str">
            <v>10</v>
          </cell>
          <cell r="AW1379">
            <v>1</v>
          </cell>
          <cell r="AX1379">
            <v>0</v>
          </cell>
          <cell r="AY1379">
            <v>0</v>
          </cell>
          <cell r="AZ1379">
            <v>0</v>
          </cell>
          <cell r="BA1379">
            <v>0</v>
          </cell>
          <cell r="BD1379" t="str">
            <v/>
          </cell>
          <cell r="BE1379">
            <v>1</v>
          </cell>
          <cell r="BG1379" t="str">
            <v>1101</v>
          </cell>
        </row>
        <row r="1380">
          <cell r="B1380" t="str">
            <v>G270078106100400</v>
          </cell>
          <cell r="C1380" t="str">
            <v>27.大阪府</v>
          </cell>
          <cell r="D1380" t="str">
            <v>007</v>
          </cell>
          <cell r="E1380" t="str">
            <v>南大阪湾岸流域</v>
          </cell>
          <cell r="F1380" t="str">
            <v>81</v>
          </cell>
          <cell r="G1380" t="str">
            <v>流域</v>
          </cell>
          <cell r="H1380" t="str">
            <v>流域下水道</v>
          </cell>
          <cell r="I1380" t="str">
            <v/>
          </cell>
          <cell r="J1380" t="str">
            <v>004</v>
          </cell>
          <cell r="K1380" t="str">
            <v>大阪南下水汚泥広域処理場</v>
          </cell>
          <cell r="N1380" t="str">
            <v>1</v>
          </cell>
          <cell r="O1380" t="str">
            <v>1</v>
          </cell>
          <cell r="Q1380">
            <v>32964</v>
          </cell>
          <cell r="R1380" t="str">
            <v>平成</v>
          </cell>
          <cell r="S1380">
            <v>2</v>
          </cell>
          <cell r="T1380">
            <v>4</v>
          </cell>
          <cell r="AB1380">
            <v>66600</v>
          </cell>
          <cell r="AC1380" t="str">
            <v>該当しない</v>
          </cell>
          <cell r="AI1380" t="str">
            <v>該当しない</v>
          </cell>
          <cell r="AQ1380" t="str">
            <v/>
          </cell>
          <cell r="AR1380" t="str">
            <v/>
          </cell>
          <cell r="AS1380" t="str">
            <v>2700781004</v>
          </cell>
          <cell r="AT1380" t="str">
            <v/>
          </cell>
          <cell r="AU1380" t="str">
            <v>11</v>
          </cell>
          <cell r="AV1380" t="str">
            <v>11</v>
          </cell>
          <cell r="AW1380">
            <v>0</v>
          </cell>
          <cell r="AX1380">
            <v>0</v>
          </cell>
          <cell r="AY1380">
            <v>0</v>
          </cell>
          <cell r="AZ1380">
            <v>0</v>
          </cell>
          <cell r="BA1380">
            <v>0</v>
          </cell>
          <cell r="BD1380" t="str">
            <v/>
          </cell>
          <cell r="BE1380">
            <v>1</v>
          </cell>
          <cell r="BG1380" t="str">
            <v>0110</v>
          </cell>
        </row>
        <row r="1381">
          <cell r="B1381" t="str">
            <v>G271000106100100</v>
          </cell>
          <cell r="C1381" t="str">
            <v>27.大阪府</v>
          </cell>
          <cell r="D1381" t="str">
            <v>100</v>
          </cell>
          <cell r="E1381" t="str">
            <v>大阪市</v>
          </cell>
          <cell r="F1381" t="str">
            <v>01</v>
          </cell>
          <cell r="G1381" t="str">
            <v>公共 単独</v>
          </cell>
          <cell r="H1381" t="str">
            <v>公共下水道</v>
          </cell>
          <cell r="I1381" t="str">
            <v>単独</v>
          </cell>
          <cell r="J1381" t="str">
            <v>001</v>
          </cell>
          <cell r="K1381" t="str">
            <v>津守下水処理場</v>
          </cell>
          <cell r="M1381" t="str">
            <v>1</v>
          </cell>
          <cell r="N1381" t="str">
            <v>1</v>
          </cell>
          <cell r="O1381" t="str">
            <v>1</v>
          </cell>
          <cell r="Q1381">
            <v>14702</v>
          </cell>
          <cell r="R1381" t="str">
            <v>昭和</v>
          </cell>
          <cell r="S1381">
            <v>15</v>
          </cell>
          <cell r="T1381">
            <v>4</v>
          </cell>
          <cell r="AB1381">
            <v>123350</v>
          </cell>
          <cell r="AC1381" t="str">
            <v>木津川</v>
          </cell>
          <cell r="AD1381" t="str">
            <v>Ｂ</v>
          </cell>
          <cell r="AE1381" t="str">
            <v>イ</v>
          </cell>
          <cell r="AF1381">
            <v>15</v>
          </cell>
          <cell r="AG1381">
            <v>11</v>
          </cell>
          <cell r="AH1381">
            <v>2</v>
          </cell>
          <cell r="AK1381" t="str">
            <v>木津川</v>
          </cell>
          <cell r="AQ1381" t="str">
            <v/>
          </cell>
          <cell r="AR1381" t="str">
            <v>嫌気好気活性汚泥法</v>
          </cell>
          <cell r="AS1381" t="str">
            <v>2710001001</v>
          </cell>
          <cell r="AT1381" t="str">
            <v/>
          </cell>
          <cell r="AU1381" t="str">
            <v>11</v>
          </cell>
          <cell r="AV1381" t="str">
            <v>11</v>
          </cell>
          <cell r="AW1381">
            <v>0</v>
          </cell>
          <cell r="AX1381">
            <v>0</v>
          </cell>
          <cell r="AY1381">
            <v>0</v>
          </cell>
          <cell r="AZ1381">
            <v>0</v>
          </cell>
          <cell r="BA1381">
            <v>0</v>
          </cell>
          <cell r="BD1381" t="str">
            <v/>
          </cell>
          <cell r="BE1381">
            <v>1</v>
          </cell>
          <cell r="BG1381" t="str">
            <v>1110</v>
          </cell>
        </row>
        <row r="1382">
          <cell r="B1382" t="str">
            <v>G271000106100200</v>
          </cell>
          <cell r="C1382" t="str">
            <v>27.大阪府</v>
          </cell>
          <cell r="D1382" t="str">
            <v>100</v>
          </cell>
          <cell r="E1382" t="str">
            <v>大阪市</v>
          </cell>
          <cell r="F1382" t="str">
            <v>01</v>
          </cell>
          <cell r="G1382" t="str">
            <v>公共 単独</v>
          </cell>
          <cell r="H1382" t="str">
            <v>公共下水道</v>
          </cell>
          <cell r="I1382" t="str">
            <v>単独</v>
          </cell>
          <cell r="J1382" t="str">
            <v>002</v>
          </cell>
          <cell r="K1382" t="str">
            <v>海老江下水処理場</v>
          </cell>
          <cell r="M1382" t="str">
            <v>1</v>
          </cell>
          <cell r="N1382" t="str">
            <v>1</v>
          </cell>
          <cell r="O1382" t="str">
            <v>1</v>
          </cell>
          <cell r="P1382" t="str">
            <v>1</v>
          </cell>
          <cell r="Q1382">
            <v>14702</v>
          </cell>
          <cell r="R1382" t="str">
            <v>昭和</v>
          </cell>
          <cell r="S1382">
            <v>15</v>
          </cell>
          <cell r="T1382">
            <v>4</v>
          </cell>
          <cell r="AB1382">
            <v>111384</v>
          </cell>
          <cell r="AC1382" t="str">
            <v>正蓮寺川</v>
          </cell>
          <cell r="AD1382" t="str">
            <v>Ｂ</v>
          </cell>
          <cell r="AE1382" t="str">
            <v>イ</v>
          </cell>
          <cell r="AF1382">
            <v>15</v>
          </cell>
          <cell r="AH1382">
            <v>2</v>
          </cell>
          <cell r="AK1382" t="str">
            <v>正蓮寺川、淀川</v>
          </cell>
          <cell r="AQ1382" t="str">
            <v/>
          </cell>
          <cell r="AR1382" t="str">
            <v>嫌気好気活性汚泥法</v>
          </cell>
          <cell r="AS1382" t="str">
            <v>2710001002</v>
          </cell>
          <cell r="AT1382" t="str">
            <v/>
          </cell>
          <cell r="AU1382" t="str">
            <v>11</v>
          </cell>
          <cell r="AV1382" t="str">
            <v>11</v>
          </cell>
          <cell r="AW1382">
            <v>1</v>
          </cell>
          <cell r="AX1382">
            <v>0</v>
          </cell>
          <cell r="AY1382">
            <v>0</v>
          </cell>
          <cell r="AZ1382">
            <v>0</v>
          </cell>
          <cell r="BA1382">
            <v>0</v>
          </cell>
          <cell r="BD1382" t="str">
            <v/>
          </cell>
          <cell r="BE1382">
            <v>1</v>
          </cell>
          <cell r="BG1382" t="str">
            <v>1111</v>
          </cell>
        </row>
        <row r="1383">
          <cell r="B1383" t="str">
            <v>G271000106100300</v>
          </cell>
          <cell r="C1383" t="str">
            <v>27.大阪府</v>
          </cell>
          <cell r="D1383" t="str">
            <v>100</v>
          </cell>
          <cell r="E1383" t="str">
            <v>大阪市</v>
          </cell>
          <cell r="F1383" t="str">
            <v>01</v>
          </cell>
          <cell r="G1383" t="str">
            <v>公共 単独</v>
          </cell>
          <cell r="H1383" t="str">
            <v>公共下水道</v>
          </cell>
          <cell r="I1383" t="str">
            <v>単独</v>
          </cell>
          <cell r="J1383" t="str">
            <v>003</v>
          </cell>
          <cell r="K1383" t="str">
            <v>中浜下水処理場</v>
          </cell>
          <cell r="M1383" t="str">
            <v>1</v>
          </cell>
          <cell r="N1383" t="str">
            <v>1</v>
          </cell>
          <cell r="O1383" t="str">
            <v>1</v>
          </cell>
          <cell r="P1383" t="str">
            <v>1</v>
          </cell>
          <cell r="Q1383">
            <v>22037</v>
          </cell>
          <cell r="R1383" t="str">
            <v>昭和</v>
          </cell>
          <cell r="S1383">
            <v>35</v>
          </cell>
          <cell r="T1383">
            <v>5</v>
          </cell>
          <cell r="AB1383">
            <v>84061</v>
          </cell>
          <cell r="AC1383" t="str">
            <v>第2寝屋川</v>
          </cell>
          <cell r="AD1383" t="str">
            <v>Ｄ</v>
          </cell>
          <cell r="AE1383" t="str">
            <v>イ</v>
          </cell>
          <cell r="AF1383">
            <v>15</v>
          </cell>
          <cell r="AH1383">
            <v>2</v>
          </cell>
          <cell r="AK1383" t="str">
            <v>第2寝屋川</v>
          </cell>
          <cell r="AQ1383" t="str">
            <v/>
          </cell>
          <cell r="AR1383" t="str">
            <v>標準活性汚泥法</v>
          </cell>
          <cell r="AS1383" t="str">
            <v>2710001003</v>
          </cell>
          <cell r="AT1383" t="str">
            <v/>
          </cell>
          <cell r="AU1383" t="str">
            <v>11</v>
          </cell>
          <cell r="AV1383" t="str">
            <v>11</v>
          </cell>
          <cell r="AW1383">
            <v>1</v>
          </cell>
          <cell r="AX1383">
            <v>0</v>
          </cell>
          <cell r="AY1383">
            <v>0</v>
          </cell>
          <cell r="AZ1383">
            <v>0</v>
          </cell>
          <cell r="BA1383">
            <v>0</v>
          </cell>
          <cell r="BD1383" t="str">
            <v/>
          </cell>
          <cell r="BE1383">
            <v>1</v>
          </cell>
          <cell r="BG1383" t="str">
            <v>1111</v>
          </cell>
        </row>
        <row r="1384">
          <cell r="B1384" t="str">
            <v>G271000106100400</v>
          </cell>
          <cell r="C1384" t="str">
            <v>27.大阪府</v>
          </cell>
          <cell r="D1384" t="str">
            <v>100</v>
          </cell>
          <cell r="E1384" t="str">
            <v>大阪市</v>
          </cell>
          <cell r="F1384" t="str">
            <v>01</v>
          </cell>
          <cell r="G1384" t="str">
            <v>公共 単独</v>
          </cell>
          <cell r="H1384" t="str">
            <v>公共下水道</v>
          </cell>
          <cell r="I1384" t="str">
            <v>単独</v>
          </cell>
          <cell r="J1384" t="str">
            <v>004</v>
          </cell>
          <cell r="K1384" t="str">
            <v>市岡下水処理場</v>
          </cell>
          <cell r="M1384" t="str">
            <v>1</v>
          </cell>
          <cell r="P1384" t="str">
            <v>1</v>
          </cell>
          <cell r="Q1384">
            <v>22372</v>
          </cell>
          <cell r="R1384" t="str">
            <v>昭和</v>
          </cell>
          <cell r="S1384">
            <v>36</v>
          </cell>
          <cell r="T1384">
            <v>4</v>
          </cell>
          <cell r="AB1384">
            <v>44912</v>
          </cell>
          <cell r="AC1384" t="str">
            <v>尻無川</v>
          </cell>
          <cell r="AD1384" t="str">
            <v>Ｂ</v>
          </cell>
          <cell r="AE1384" t="str">
            <v>イ</v>
          </cell>
          <cell r="AF1384">
            <v>15</v>
          </cell>
          <cell r="AH1384">
            <v>2</v>
          </cell>
          <cell r="AK1384" t="str">
            <v>尻無川</v>
          </cell>
          <cell r="AQ1384" t="str">
            <v/>
          </cell>
          <cell r="AR1384" t="str">
            <v>標準活性汚泥法</v>
          </cell>
          <cell r="AS1384" t="str">
            <v>2710001004</v>
          </cell>
          <cell r="AT1384" t="str">
            <v/>
          </cell>
          <cell r="AU1384" t="str">
            <v>00</v>
          </cell>
          <cell r="AV1384" t="str">
            <v>00</v>
          </cell>
          <cell r="AW1384">
            <v>1</v>
          </cell>
          <cell r="AX1384">
            <v>0</v>
          </cell>
          <cell r="AY1384">
            <v>0</v>
          </cell>
          <cell r="AZ1384">
            <v>0</v>
          </cell>
          <cell r="BA1384">
            <v>0</v>
          </cell>
          <cell r="BD1384" t="str">
            <v/>
          </cell>
          <cell r="BE1384">
            <v>1</v>
          </cell>
          <cell r="BG1384" t="str">
            <v>1001</v>
          </cell>
        </row>
        <row r="1385">
          <cell r="B1385" t="str">
            <v>G271000106100500</v>
          </cell>
          <cell r="C1385" t="str">
            <v>27.大阪府</v>
          </cell>
          <cell r="D1385" t="str">
            <v>100</v>
          </cell>
          <cell r="E1385" t="str">
            <v>大阪市</v>
          </cell>
          <cell r="F1385" t="str">
            <v>01</v>
          </cell>
          <cell r="G1385" t="str">
            <v>公共 単独</v>
          </cell>
          <cell r="H1385" t="str">
            <v>公共下水道</v>
          </cell>
          <cell r="I1385" t="str">
            <v>単独</v>
          </cell>
          <cell r="J1385" t="str">
            <v>005</v>
          </cell>
          <cell r="K1385" t="str">
            <v>千島下水処理場</v>
          </cell>
          <cell r="M1385" t="str">
            <v>1</v>
          </cell>
          <cell r="P1385" t="str">
            <v>1</v>
          </cell>
          <cell r="Q1385">
            <v>23285</v>
          </cell>
          <cell r="R1385" t="str">
            <v>昭和</v>
          </cell>
          <cell r="S1385">
            <v>38</v>
          </cell>
          <cell r="T1385">
            <v>10</v>
          </cell>
          <cell r="AB1385">
            <v>36595</v>
          </cell>
          <cell r="AC1385" t="str">
            <v>木津川</v>
          </cell>
          <cell r="AD1385" t="str">
            <v>Ｂ</v>
          </cell>
          <cell r="AE1385" t="str">
            <v>イ</v>
          </cell>
          <cell r="AF1385">
            <v>15</v>
          </cell>
          <cell r="AH1385">
            <v>2</v>
          </cell>
          <cell r="AK1385" t="str">
            <v>木津川</v>
          </cell>
          <cell r="AQ1385" t="str">
            <v/>
          </cell>
          <cell r="AR1385" t="str">
            <v>嫌気好気活性汚泥法</v>
          </cell>
          <cell r="AS1385" t="str">
            <v>2710001005</v>
          </cell>
          <cell r="AT1385" t="str">
            <v/>
          </cell>
          <cell r="AU1385" t="str">
            <v>00</v>
          </cell>
          <cell r="AV1385" t="str">
            <v>00</v>
          </cell>
          <cell r="AW1385">
            <v>1</v>
          </cell>
          <cell r="AX1385">
            <v>0</v>
          </cell>
          <cell r="AY1385">
            <v>0</v>
          </cell>
          <cell r="AZ1385">
            <v>0</v>
          </cell>
          <cell r="BA1385">
            <v>0</v>
          </cell>
          <cell r="BD1385" t="str">
            <v/>
          </cell>
          <cell r="BE1385">
            <v>1</v>
          </cell>
          <cell r="BG1385" t="str">
            <v>1001</v>
          </cell>
        </row>
        <row r="1386">
          <cell r="B1386" t="str">
            <v>G271000106100600</v>
          </cell>
          <cell r="C1386" t="str">
            <v>27.大阪府</v>
          </cell>
          <cell r="D1386" t="str">
            <v>100</v>
          </cell>
          <cell r="E1386" t="str">
            <v>大阪市</v>
          </cell>
          <cell r="F1386" t="str">
            <v>01</v>
          </cell>
          <cell r="G1386" t="str">
            <v>公共 単独</v>
          </cell>
          <cell r="H1386" t="str">
            <v>公共下水道</v>
          </cell>
          <cell r="I1386" t="str">
            <v>単独</v>
          </cell>
          <cell r="J1386" t="str">
            <v>006</v>
          </cell>
          <cell r="K1386" t="str">
            <v>住之江下水処理場</v>
          </cell>
          <cell r="M1386" t="str">
            <v>1</v>
          </cell>
          <cell r="N1386" t="str">
            <v>1</v>
          </cell>
          <cell r="Q1386">
            <v>23712</v>
          </cell>
          <cell r="R1386" t="str">
            <v>昭和</v>
          </cell>
          <cell r="S1386">
            <v>39</v>
          </cell>
          <cell r="T1386">
            <v>12</v>
          </cell>
          <cell r="AB1386">
            <v>86845</v>
          </cell>
          <cell r="AC1386" t="str">
            <v>住吉川</v>
          </cell>
          <cell r="AD1386" t="str">
            <v>Ｂ</v>
          </cell>
          <cell r="AE1386" t="str">
            <v>ロ</v>
          </cell>
          <cell r="AF1386">
            <v>15</v>
          </cell>
          <cell r="AH1386">
            <v>2</v>
          </cell>
          <cell r="AK1386" t="str">
            <v>住吉川</v>
          </cell>
          <cell r="AQ1386" t="str">
            <v/>
          </cell>
          <cell r="AR1386" t="str">
            <v>嫌気好気活性汚泥法</v>
          </cell>
          <cell r="AS1386" t="str">
            <v>2710001006</v>
          </cell>
          <cell r="AT1386" t="str">
            <v/>
          </cell>
          <cell r="AU1386" t="str">
            <v>10</v>
          </cell>
          <cell r="AV1386" t="str">
            <v>10</v>
          </cell>
          <cell r="AW1386">
            <v>0</v>
          </cell>
          <cell r="AX1386">
            <v>0</v>
          </cell>
          <cell r="AY1386">
            <v>0</v>
          </cell>
          <cell r="AZ1386">
            <v>0</v>
          </cell>
          <cell r="BA1386">
            <v>0</v>
          </cell>
          <cell r="BD1386" t="str">
            <v/>
          </cell>
          <cell r="BE1386">
            <v>1</v>
          </cell>
          <cell r="BG1386" t="str">
            <v>1100</v>
          </cell>
        </row>
        <row r="1387">
          <cell r="B1387" t="str">
            <v>G271000106100700</v>
          </cell>
          <cell r="C1387" t="str">
            <v>27.大阪府</v>
          </cell>
          <cell r="D1387" t="str">
            <v>100</v>
          </cell>
          <cell r="E1387" t="str">
            <v>大阪市</v>
          </cell>
          <cell r="F1387" t="str">
            <v>01</v>
          </cell>
          <cell r="G1387" t="str">
            <v>公共 単独</v>
          </cell>
          <cell r="H1387" t="str">
            <v>公共下水道</v>
          </cell>
          <cell r="I1387" t="str">
            <v>単独</v>
          </cell>
          <cell r="J1387" t="str">
            <v>007</v>
          </cell>
          <cell r="K1387" t="str">
            <v>今福下水処理場</v>
          </cell>
          <cell r="M1387" t="str">
            <v>1</v>
          </cell>
          <cell r="P1387" t="str">
            <v>1</v>
          </cell>
          <cell r="Q1387">
            <v>24259</v>
          </cell>
          <cell r="R1387" t="str">
            <v>昭和</v>
          </cell>
          <cell r="S1387">
            <v>41</v>
          </cell>
          <cell r="T1387">
            <v>6</v>
          </cell>
          <cell r="AB1387">
            <v>51631</v>
          </cell>
          <cell r="AC1387" t="str">
            <v>寝屋川</v>
          </cell>
          <cell r="AD1387" t="str">
            <v>Ｄ</v>
          </cell>
          <cell r="AE1387" t="str">
            <v>ロ</v>
          </cell>
          <cell r="AF1387">
            <v>13</v>
          </cell>
          <cell r="AG1387">
            <v>15</v>
          </cell>
          <cell r="AH1387">
            <v>2</v>
          </cell>
          <cell r="AK1387" t="str">
            <v>寝屋川</v>
          </cell>
          <cell r="AQ1387" t="str">
            <v/>
          </cell>
          <cell r="AR1387" t="str">
            <v>標準活性汚泥法</v>
          </cell>
          <cell r="AS1387" t="str">
            <v>2710001007</v>
          </cell>
          <cell r="AT1387" t="str">
            <v/>
          </cell>
          <cell r="AU1387" t="str">
            <v>00</v>
          </cell>
          <cell r="AV1387" t="str">
            <v>00</v>
          </cell>
          <cell r="AW1387">
            <v>1</v>
          </cell>
          <cell r="AX1387">
            <v>0</v>
          </cell>
          <cell r="AY1387">
            <v>0</v>
          </cell>
          <cell r="AZ1387">
            <v>0</v>
          </cell>
          <cell r="BA1387">
            <v>0</v>
          </cell>
          <cell r="BD1387" t="str">
            <v/>
          </cell>
          <cell r="BE1387">
            <v>1</v>
          </cell>
          <cell r="BG1387" t="str">
            <v>1001</v>
          </cell>
        </row>
        <row r="1388">
          <cell r="B1388" t="str">
            <v>G271000106100800</v>
          </cell>
          <cell r="C1388" t="str">
            <v>27.大阪府</v>
          </cell>
          <cell r="D1388" t="str">
            <v>100</v>
          </cell>
          <cell r="E1388" t="str">
            <v>大阪市</v>
          </cell>
          <cell r="F1388" t="str">
            <v>01</v>
          </cell>
          <cell r="G1388" t="str">
            <v>公共 単独</v>
          </cell>
          <cell r="H1388" t="str">
            <v>公共下水道</v>
          </cell>
          <cell r="I1388" t="str">
            <v>単独</v>
          </cell>
          <cell r="J1388" t="str">
            <v>008</v>
          </cell>
          <cell r="K1388" t="str">
            <v>放出下水処理場</v>
          </cell>
          <cell r="M1388" t="str">
            <v>1</v>
          </cell>
          <cell r="N1388" t="str">
            <v>1</v>
          </cell>
          <cell r="P1388" t="str">
            <v>1</v>
          </cell>
          <cell r="Q1388">
            <v>24746</v>
          </cell>
          <cell r="R1388" t="str">
            <v>昭和</v>
          </cell>
          <cell r="S1388">
            <v>42</v>
          </cell>
          <cell r="T1388">
            <v>10</v>
          </cell>
          <cell r="AB1388">
            <v>59391</v>
          </cell>
          <cell r="AC1388" t="str">
            <v>平野川分水路</v>
          </cell>
          <cell r="AD1388" t="str">
            <v>Ｄ</v>
          </cell>
          <cell r="AE1388" t="str">
            <v>イ</v>
          </cell>
          <cell r="AF1388">
            <v>15</v>
          </cell>
          <cell r="AH1388">
            <v>2</v>
          </cell>
          <cell r="AK1388" t="str">
            <v>平野川分水路</v>
          </cell>
          <cell r="AQ1388" t="str">
            <v/>
          </cell>
          <cell r="AR1388" t="str">
            <v>嫌気好気活性汚泥法</v>
          </cell>
          <cell r="AS1388" t="str">
            <v>2710001008</v>
          </cell>
          <cell r="AT1388" t="str">
            <v/>
          </cell>
          <cell r="AU1388" t="str">
            <v>10</v>
          </cell>
          <cell r="AV1388" t="str">
            <v>10</v>
          </cell>
          <cell r="AW1388">
            <v>1</v>
          </cell>
          <cell r="AX1388">
            <v>0</v>
          </cell>
          <cell r="AY1388">
            <v>0</v>
          </cell>
          <cell r="AZ1388">
            <v>0</v>
          </cell>
          <cell r="BA1388">
            <v>0</v>
          </cell>
          <cell r="BD1388" t="str">
            <v/>
          </cell>
          <cell r="BE1388">
            <v>1</v>
          </cell>
          <cell r="BG1388" t="str">
            <v>1101</v>
          </cell>
        </row>
        <row r="1389">
          <cell r="B1389" t="str">
            <v>G271000106100900</v>
          </cell>
          <cell r="C1389" t="str">
            <v>27.大阪府</v>
          </cell>
          <cell r="D1389" t="str">
            <v>100</v>
          </cell>
          <cell r="E1389" t="str">
            <v>大阪市</v>
          </cell>
          <cell r="F1389" t="str">
            <v>01</v>
          </cell>
          <cell r="G1389" t="str">
            <v>公共 単独</v>
          </cell>
          <cell r="H1389" t="str">
            <v>公共下水道</v>
          </cell>
          <cell r="I1389" t="str">
            <v>単独</v>
          </cell>
          <cell r="J1389" t="str">
            <v>009</v>
          </cell>
          <cell r="K1389" t="str">
            <v>大野下水処理場</v>
          </cell>
          <cell r="M1389" t="str">
            <v>1</v>
          </cell>
          <cell r="N1389" t="str">
            <v>1</v>
          </cell>
          <cell r="P1389" t="str">
            <v>1</v>
          </cell>
          <cell r="Q1389">
            <v>24777</v>
          </cell>
          <cell r="R1389" t="str">
            <v>昭和</v>
          </cell>
          <cell r="S1389">
            <v>42</v>
          </cell>
          <cell r="T1389">
            <v>11</v>
          </cell>
          <cell r="AB1389">
            <v>238377</v>
          </cell>
          <cell r="AC1389" t="str">
            <v>神崎川</v>
          </cell>
          <cell r="AD1389" t="str">
            <v>Ｂ</v>
          </cell>
          <cell r="AE1389" t="str">
            <v>ロ</v>
          </cell>
          <cell r="AF1389">
            <v>15</v>
          </cell>
          <cell r="AH1389">
            <v>2</v>
          </cell>
          <cell r="AK1389" t="str">
            <v>神崎川</v>
          </cell>
          <cell r="AQ1389" t="str">
            <v/>
          </cell>
          <cell r="AR1389" t="str">
            <v>標準活性汚泥法</v>
          </cell>
          <cell r="AS1389" t="str">
            <v>2710001009</v>
          </cell>
          <cell r="AT1389" t="str">
            <v/>
          </cell>
          <cell r="AU1389" t="str">
            <v>10</v>
          </cell>
          <cell r="AV1389" t="str">
            <v>10</v>
          </cell>
          <cell r="AW1389">
            <v>1</v>
          </cell>
          <cell r="AX1389">
            <v>0</v>
          </cell>
          <cell r="AY1389">
            <v>0</v>
          </cell>
          <cell r="AZ1389">
            <v>0</v>
          </cell>
          <cell r="BA1389">
            <v>0</v>
          </cell>
          <cell r="BD1389" t="str">
            <v/>
          </cell>
          <cell r="BE1389">
            <v>1</v>
          </cell>
          <cell r="BG1389" t="str">
            <v>1101</v>
          </cell>
        </row>
        <row r="1390">
          <cell r="B1390" t="str">
            <v>G271000106101000</v>
          </cell>
          <cell r="C1390" t="str">
            <v>27.大阪府</v>
          </cell>
          <cell r="D1390" t="str">
            <v>100</v>
          </cell>
          <cell r="E1390" t="str">
            <v>大阪市</v>
          </cell>
          <cell r="F1390" t="str">
            <v>01</v>
          </cell>
          <cell r="G1390" t="str">
            <v>公共 単独</v>
          </cell>
          <cell r="H1390" t="str">
            <v>公共下水道</v>
          </cell>
          <cell r="I1390" t="str">
            <v>単独</v>
          </cell>
          <cell r="J1390" t="str">
            <v>010</v>
          </cell>
          <cell r="K1390" t="str">
            <v>此花下水処理場</v>
          </cell>
          <cell r="M1390" t="str">
            <v>1</v>
          </cell>
          <cell r="P1390" t="str">
            <v>1</v>
          </cell>
          <cell r="Q1390">
            <v>25020</v>
          </cell>
          <cell r="R1390" t="str">
            <v>昭和</v>
          </cell>
          <cell r="S1390">
            <v>43</v>
          </cell>
          <cell r="T1390">
            <v>7</v>
          </cell>
          <cell r="AB1390">
            <v>34513</v>
          </cell>
          <cell r="AC1390" t="str">
            <v>正蓮寺川</v>
          </cell>
          <cell r="AD1390" t="str">
            <v>Ｂ</v>
          </cell>
          <cell r="AE1390" t="str">
            <v>イ</v>
          </cell>
          <cell r="AF1390">
            <v>15</v>
          </cell>
          <cell r="AG1390">
            <v>11</v>
          </cell>
          <cell r="AH1390">
            <v>2</v>
          </cell>
          <cell r="AK1390" t="str">
            <v>正蓮寺川</v>
          </cell>
          <cell r="AQ1390" t="str">
            <v/>
          </cell>
          <cell r="AR1390" t="str">
            <v>標準活性汚泥法</v>
          </cell>
          <cell r="AS1390" t="str">
            <v>2710001010</v>
          </cell>
          <cell r="AT1390" t="str">
            <v/>
          </cell>
          <cell r="AU1390" t="str">
            <v>00</v>
          </cell>
          <cell r="AV1390" t="str">
            <v>00</v>
          </cell>
          <cell r="AW1390">
            <v>1</v>
          </cell>
          <cell r="AX1390">
            <v>0</v>
          </cell>
          <cell r="AY1390">
            <v>0</v>
          </cell>
          <cell r="AZ1390">
            <v>0</v>
          </cell>
          <cell r="BA1390">
            <v>0</v>
          </cell>
          <cell r="BD1390" t="str">
            <v/>
          </cell>
          <cell r="BE1390">
            <v>1</v>
          </cell>
          <cell r="BG1390" t="str">
            <v>1001</v>
          </cell>
        </row>
        <row r="1391">
          <cell r="B1391" t="str">
            <v>G271000106101100</v>
          </cell>
          <cell r="C1391" t="str">
            <v>27.大阪府</v>
          </cell>
          <cell r="D1391" t="str">
            <v>100</v>
          </cell>
          <cell r="E1391" t="str">
            <v>大阪市</v>
          </cell>
          <cell r="F1391" t="str">
            <v>01</v>
          </cell>
          <cell r="G1391" t="str">
            <v>公共 単独</v>
          </cell>
          <cell r="H1391" t="str">
            <v>公共下水道</v>
          </cell>
          <cell r="I1391" t="str">
            <v>単独</v>
          </cell>
          <cell r="J1391" t="str">
            <v>011</v>
          </cell>
          <cell r="K1391" t="str">
            <v>十八条下水処理場</v>
          </cell>
          <cell r="M1391" t="str">
            <v>1</v>
          </cell>
          <cell r="P1391" t="str">
            <v>1</v>
          </cell>
          <cell r="Q1391">
            <v>25628</v>
          </cell>
          <cell r="R1391" t="str">
            <v>昭和</v>
          </cell>
          <cell r="S1391">
            <v>45</v>
          </cell>
          <cell r="T1391">
            <v>3</v>
          </cell>
          <cell r="AB1391">
            <v>34640</v>
          </cell>
          <cell r="AC1391" t="str">
            <v>神崎川</v>
          </cell>
          <cell r="AD1391" t="str">
            <v>Ｂ</v>
          </cell>
          <cell r="AE1391" t="str">
            <v>ロ</v>
          </cell>
          <cell r="AF1391">
            <v>15</v>
          </cell>
          <cell r="AH1391">
            <v>2</v>
          </cell>
          <cell r="AK1391" t="str">
            <v>神崎川</v>
          </cell>
          <cell r="AQ1391" t="str">
            <v/>
          </cell>
          <cell r="AR1391" t="str">
            <v>嫌気好気活性汚泥法</v>
          </cell>
          <cell r="AS1391" t="str">
            <v>2710001011</v>
          </cell>
          <cell r="AT1391" t="str">
            <v/>
          </cell>
          <cell r="AU1391" t="str">
            <v>00</v>
          </cell>
          <cell r="AV1391" t="str">
            <v>00</v>
          </cell>
          <cell r="AW1391">
            <v>1</v>
          </cell>
          <cell r="AX1391">
            <v>0</v>
          </cell>
          <cell r="AY1391">
            <v>0</v>
          </cell>
          <cell r="AZ1391">
            <v>0</v>
          </cell>
          <cell r="BA1391">
            <v>0</v>
          </cell>
          <cell r="BD1391" t="str">
            <v/>
          </cell>
          <cell r="BE1391">
            <v>1</v>
          </cell>
          <cell r="BG1391" t="str">
            <v>1001</v>
          </cell>
        </row>
        <row r="1392">
          <cell r="B1392" t="str">
            <v>G271000106101200</v>
          </cell>
          <cell r="C1392" t="str">
            <v>27.大阪府</v>
          </cell>
          <cell r="D1392" t="str">
            <v>100</v>
          </cell>
          <cell r="E1392" t="str">
            <v>大阪市</v>
          </cell>
          <cell r="F1392" t="str">
            <v>01</v>
          </cell>
          <cell r="G1392" t="str">
            <v>公共 単独</v>
          </cell>
          <cell r="H1392" t="str">
            <v>公共下水道</v>
          </cell>
          <cell r="I1392" t="str">
            <v>単独</v>
          </cell>
          <cell r="J1392" t="str">
            <v>012</v>
          </cell>
          <cell r="K1392" t="str">
            <v>平野下水処理場</v>
          </cell>
          <cell r="M1392" t="str">
            <v>1</v>
          </cell>
          <cell r="N1392" t="str">
            <v>1</v>
          </cell>
          <cell r="O1392" t="str">
            <v>1</v>
          </cell>
          <cell r="P1392" t="str">
            <v>1</v>
          </cell>
          <cell r="Q1392">
            <v>26390</v>
          </cell>
          <cell r="R1392" t="str">
            <v>昭和</v>
          </cell>
          <cell r="S1392">
            <v>47</v>
          </cell>
          <cell r="T1392">
            <v>4</v>
          </cell>
          <cell r="AB1392">
            <v>101319</v>
          </cell>
          <cell r="AC1392" t="str">
            <v>平野川分水路</v>
          </cell>
          <cell r="AD1392" t="str">
            <v>Ｄ</v>
          </cell>
          <cell r="AE1392" t="str">
            <v>イ</v>
          </cell>
          <cell r="AF1392">
            <v>13</v>
          </cell>
          <cell r="AH1392">
            <v>2</v>
          </cell>
          <cell r="AK1392" t="str">
            <v>平野川分水路</v>
          </cell>
          <cell r="AQ1392" t="str">
            <v/>
          </cell>
          <cell r="AR1392" t="str">
            <v>標準活性汚泥法</v>
          </cell>
          <cell r="AS1392" t="str">
            <v>2710001012</v>
          </cell>
          <cell r="AT1392" t="str">
            <v/>
          </cell>
          <cell r="AU1392" t="str">
            <v>11</v>
          </cell>
          <cell r="AV1392" t="str">
            <v>11</v>
          </cell>
          <cell r="AW1392">
            <v>1</v>
          </cell>
          <cell r="AX1392">
            <v>0</v>
          </cell>
          <cell r="AY1392">
            <v>0</v>
          </cell>
          <cell r="AZ1392">
            <v>0</v>
          </cell>
          <cell r="BA1392">
            <v>0</v>
          </cell>
          <cell r="BD1392" t="str">
            <v/>
          </cell>
          <cell r="BE1392">
            <v>1</v>
          </cell>
          <cell r="BG1392" t="str">
            <v>1111</v>
          </cell>
        </row>
        <row r="1393">
          <cell r="B1393" t="str">
            <v>G271000106101300</v>
          </cell>
          <cell r="C1393" t="str">
            <v>27.大阪府</v>
          </cell>
          <cell r="D1393" t="str">
            <v>100</v>
          </cell>
          <cell r="E1393" t="str">
            <v>大阪市</v>
          </cell>
          <cell r="F1393" t="str">
            <v>01</v>
          </cell>
          <cell r="G1393" t="str">
            <v>公共 単独</v>
          </cell>
          <cell r="H1393" t="str">
            <v>公共下水道</v>
          </cell>
          <cell r="I1393" t="str">
            <v>単独</v>
          </cell>
          <cell r="J1393" t="str">
            <v>013</v>
          </cell>
          <cell r="K1393" t="str">
            <v>舞洲スラッジセンター</v>
          </cell>
          <cell r="N1393" t="str">
            <v>1</v>
          </cell>
          <cell r="O1393" t="str">
            <v>1</v>
          </cell>
          <cell r="Q1393">
            <v>38078</v>
          </cell>
          <cell r="R1393" t="str">
            <v>平成</v>
          </cell>
          <cell r="S1393">
            <v>16</v>
          </cell>
          <cell r="T1393">
            <v>4</v>
          </cell>
          <cell r="AB1393">
            <v>33931</v>
          </cell>
          <cell r="AC1393" t="str">
            <v>該当しない</v>
          </cell>
          <cell r="AI1393" t="str">
            <v>該当しない</v>
          </cell>
          <cell r="AQ1393" t="str">
            <v/>
          </cell>
          <cell r="AR1393" t="str">
            <v/>
          </cell>
          <cell r="AS1393" t="str">
            <v>2710001013</v>
          </cell>
          <cell r="AT1393" t="str">
            <v/>
          </cell>
          <cell r="AU1393" t="str">
            <v>11</v>
          </cell>
          <cell r="AV1393" t="str">
            <v>10</v>
          </cell>
          <cell r="AW1393">
            <v>0</v>
          </cell>
          <cell r="AX1393">
            <v>0</v>
          </cell>
          <cell r="AY1393">
            <v>-1</v>
          </cell>
          <cell r="AZ1393">
            <v>0</v>
          </cell>
          <cell r="BA1393">
            <v>1</v>
          </cell>
          <cell r="BC1393" t="str">
            <v>溶融休止</v>
          </cell>
          <cell r="BD1393" t="str">
            <v>溶融休止</v>
          </cell>
          <cell r="BE1393">
            <v>1</v>
          </cell>
          <cell r="BG1393" t="str">
            <v>0110</v>
          </cell>
        </row>
        <row r="1394">
          <cell r="B1394" t="str">
            <v>G271400106100100</v>
          </cell>
          <cell r="C1394" t="str">
            <v>27.大阪府</v>
          </cell>
          <cell r="D1394" t="str">
            <v>140</v>
          </cell>
          <cell r="E1394" t="str">
            <v>堺市</v>
          </cell>
          <cell r="F1394" t="str">
            <v>01</v>
          </cell>
          <cell r="G1394" t="str">
            <v>公共 単独</v>
          </cell>
          <cell r="H1394" t="str">
            <v>公共下水道</v>
          </cell>
          <cell r="I1394" t="str">
            <v>単独</v>
          </cell>
          <cell r="J1394" t="str">
            <v>001</v>
          </cell>
          <cell r="K1394" t="str">
            <v>三宝下水処理場</v>
          </cell>
          <cell r="M1394" t="str">
            <v>1</v>
          </cell>
          <cell r="P1394" t="str">
            <v>1</v>
          </cell>
          <cell r="Q1394">
            <v>23224</v>
          </cell>
          <cell r="R1394" t="str">
            <v>昭和</v>
          </cell>
          <cell r="S1394">
            <v>38</v>
          </cell>
          <cell r="T1394">
            <v>8</v>
          </cell>
          <cell r="AB1394">
            <v>126610.88</v>
          </cell>
          <cell r="AC1394" t="str">
            <v>大和川下流</v>
          </cell>
          <cell r="AD1394" t="str">
            <v>Ｄ</v>
          </cell>
          <cell r="AE1394" t="str">
            <v>ハ</v>
          </cell>
          <cell r="AF1394">
            <v>10</v>
          </cell>
          <cell r="AG1394">
            <v>10</v>
          </cell>
          <cell r="AH1394">
            <v>1</v>
          </cell>
          <cell r="AK1394" t="str">
            <v>大和川</v>
          </cell>
          <cell r="AQ1394" t="str">
            <v/>
          </cell>
          <cell r="AR1394" t="str">
            <v>その他処理方法</v>
          </cell>
          <cell r="AS1394" t="str">
            <v>2714001001</v>
          </cell>
          <cell r="AT1394">
            <v>1</v>
          </cell>
          <cell r="AU1394" t="str">
            <v>00</v>
          </cell>
          <cell r="AV1394" t="str">
            <v>00</v>
          </cell>
          <cell r="AW1394">
            <v>1</v>
          </cell>
          <cell r="AX1394">
            <v>0</v>
          </cell>
          <cell r="AY1394">
            <v>0</v>
          </cell>
          <cell r="AZ1394">
            <v>0</v>
          </cell>
          <cell r="BA1394">
            <v>0</v>
          </cell>
          <cell r="BD1394" t="str">
            <v/>
          </cell>
          <cell r="BE1394">
            <v>1</v>
          </cell>
          <cell r="BG1394" t="str">
            <v>1001</v>
          </cell>
        </row>
        <row r="1395">
          <cell r="B1395" t="str">
            <v>G271400106100200</v>
          </cell>
          <cell r="C1395" t="str">
            <v>27.大阪府</v>
          </cell>
          <cell r="D1395" t="str">
            <v>140</v>
          </cell>
          <cell r="E1395" t="str">
            <v>堺市</v>
          </cell>
          <cell r="F1395" t="str">
            <v>01</v>
          </cell>
          <cell r="G1395" t="str">
            <v>公共 単独</v>
          </cell>
          <cell r="H1395" t="str">
            <v>公共下水道</v>
          </cell>
          <cell r="I1395" t="str">
            <v>単独</v>
          </cell>
          <cell r="J1395" t="str">
            <v>002</v>
          </cell>
          <cell r="K1395" t="str">
            <v>泉北下水処理場</v>
          </cell>
          <cell r="M1395" t="str">
            <v>1</v>
          </cell>
          <cell r="Q1395">
            <v>25263</v>
          </cell>
          <cell r="R1395" t="str">
            <v>昭和</v>
          </cell>
          <cell r="S1395">
            <v>44</v>
          </cell>
          <cell r="T1395">
            <v>3</v>
          </cell>
          <cell r="AB1395">
            <v>168000</v>
          </cell>
          <cell r="AC1395" t="str">
            <v>石津川</v>
          </cell>
          <cell r="AD1395" t="str">
            <v>Ｅ</v>
          </cell>
          <cell r="AE1395" t="str">
            <v>ハ</v>
          </cell>
          <cell r="AF1395">
            <v>15</v>
          </cell>
          <cell r="AJ1395" t="str">
            <v>石津川</v>
          </cell>
          <cell r="AQ1395" t="str">
            <v/>
          </cell>
          <cell r="AR1395" t="str">
            <v>標準活性汚泥法</v>
          </cell>
          <cell r="AS1395" t="str">
            <v>2714001002</v>
          </cell>
          <cell r="AT1395">
            <v>1</v>
          </cell>
          <cell r="AU1395" t="str">
            <v>00</v>
          </cell>
          <cell r="AV1395" t="str">
            <v>00</v>
          </cell>
          <cell r="AW1395">
            <v>0</v>
          </cell>
          <cell r="AX1395">
            <v>0</v>
          </cell>
          <cell r="AY1395">
            <v>0</v>
          </cell>
          <cell r="AZ1395">
            <v>0</v>
          </cell>
          <cell r="BA1395">
            <v>0</v>
          </cell>
          <cell r="BD1395" t="str">
            <v/>
          </cell>
          <cell r="BE1395">
            <v>1</v>
          </cell>
          <cell r="BG1395" t="str">
            <v>1000</v>
          </cell>
        </row>
        <row r="1396">
          <cell r="B1396" t="str">
            <v>G271400106100300</v>
          </cell>
          <cell r="C1396" t="str">
            <v>27.大阪府</v>
          </cell>
          <cell r="D1396" t="str">
            <v>140</v>
          </cell>
          <cell r="E1396" t="str">
            <v>堺市</v>
          </cell>
          <cell r="F1396" t="str">
            <v>01</v>
          </cell>
          <cell r="G1396" t="str">
            <v>公共 単独</v>
          </cell>
          <cell r="H1396" t="str">
            <v>公共下水道</v>
          </cell>
          <cell r="I1396" t="str">
            <v>単独</v>
          </cell>
          <cell r="J1396" t="str">
            <v>003</v>
          </cell>
          <cell r="K1396" t="str">
            <v>石津下水処理場</v>
          </cell>
          <cell r="M1396" t="str">
            <v>1</v>
          </cell>
          <cell r="N1396" t="str">
            <v>1</v>
          </cell>
          <cell r="O1396" t="str">
            <v>1</v>
          </cell>
          <cell r="Q1396">
            <v>26330</v>
          </cell>
          <cell r="R1396" t="str">
            <v>昭和</v>
          </cell>
          <cell r="S1396">
            <v>47</v>
          </cell>
          <cell r="T1396">
            <v>2</v>
          </cell>
          <cell r="AB1396">
            <v>52380</v>
          </cell>
          <cell r="AC1396" t="str">
            <v>大阪湾</v>
          </cell>
          <cell r="AD1396" t="str">
            <v>Ｃ</v>
          </cell>
          <cell r="AE1396" t="str">
            <v>イ</v>
          </cell>
          <cell r="AF1396">
            <v>15</v>
          </cell>
          <cell r="AI1396" t="str">
            <v>大阪湾</v>
          </cell>
          <cell r="AQ1396" t="str">
            <v/>
          </cell>
          <cell r="AR1396" t="str">
            <v>標準活性汚泥法</v>
          </cell>
          <cell r="AS1396" t="str">
            <v>2714001003</v>
          </cell>
          <cell r="AT1396" t="str">
            <v/>
          </cell>
          <cell r="AU1396" t="str">
            <v>11</v>
          </cell>
          <cell r="AV1396" t="str">
            <v>11</v>
          </cell>
          <cell r="AW1396">
            <v>0</v>
          </cell>
          <cell r="AX1396">
            <v>0</v>
          </cell>
          <cell r="AY1396">
            <v>0</v>
          </cell>
          <cell r="AZ1396">
            <v>0</v>
          </cell>
          <cell r="BA1396">
            <v>0</v>
          </cell>
          <cell r="BD1396" t="str">
            <v/>
          </cell>
          <cell r="BE1396">
            <v>1</v>
          </cell>
          <cell r="BG1396" t="str">
            <v>1110</v>
          </cell>
        </row>
        <row r="1397">
          <cell r="B1397" t="str">
            <v>G272020106100100</v>
          </cell>
          <cell r="C1397" t="str">
            <v>27.大阪府</v>
          </cell>
          <cell r="D1397" t="str">
            <v>202</v>
          </cell>
          <cell r="E1397" t="str">
            <v>岸和田市</v>
          </cell>
          <cell r="F1397" t="str">
            <v>01</v>
          </cell>
          <cell r="G1397" t="str">
            <v>公共 単独</v>
          </cell>
          <cell r="H1397" t="str">
            <v>公共下水道</v>
          </cell>
          <cell r="I1397" t="str">
            <v>単独</v>
          </cell>
          <cell r="J1397" t="str">
            <v>001</v>
          </cell>
          <cell r="K1397" t="str">
            <v>磯ノ上下水処理場</v>
          </cell>
          <cell r="M1397" t="str">
            <v>1</v>
          </cell>
          <cell r="Q1397">
            <v>24685</v>
          </cell>
          <cell r="R1397" t="str">
            <v>昭和</v>
          </cell>
          <cell r="S1397">
            <v>42</v>
          </cell>
          <cell r="T1397">
            <v>8</v>
          </cell>
          <cell r="AB1397">
            <v>30570</v>
          </cell>
          <cell r="AC1397" t="str">
            <v>大阪湾</v>
          </cell>
          <cell r="AD1397" t="str">
            <v>Ｃ</v>
          </cell>
          <cell r="AE1397" t="str">
            <v>イ</v>
          </cell>
          <cell r="AF1397">
            <v>15</v>
          </cell>
          <cell r="AI1397" t="str">
            <v>新天の川</v>
          </cell>
          <cell r="AQ1397" t="str">
            <v/>
          </cell>
          <cell r="AR1397" t="str">
            <v>標準活性汚泥法</v>
          </cell>
          <cell r="AS1397" t="str">
            <v>2720201001</v>
          </cell>
          <cell r="AT1397" t="str">
            <v/>
          </cell>
          <cell r="AU1397" t="str">
            <v>00</v>
          </cell>
          <cell r="AV1397" t="str">
            <v>00</v>
          </cell>
          <cell r="AW1397">
            <v>0</v>
          </cell>
          <cell r="AX1397">
            <v>0</v>
          </cell>
          <cell r="AY1397">
            <v>0</v>
          </cell>
          <cell r="AZ1397">
            <v>0</v>
          </cell>
          <cell r="BA1397">
            <v>0</v>
          </cell>
          <cell r="BD1397" t="str">
            <v/>
          </cell>
          <cell r="BE1397">
            <v>1</v>
          </cell>
          <cell r="BG1397" t="str">
            <v>1000</v>
          </cell>
        </row>
        <row r="1398">
          <cell r="B1398" t="str">
            <v>G272020206100200</v>
          </cell>
          <cell r="C1398" t="str">
            <v>27.大阪府</v>
          </cell>
          <cell r="D1398" t="str">
            <v>202</v>
          </cell>
          <cell r="E1398" t="str">
            <v>岸和田市</v>
          </cell>
          <cell r="F1398" t="str">
            <v>02</v>
          </cell>
          <cell r="G1398" t="str">
            <v>特環 単独</v>
          </cell>
          <cell r="H1398" t="str">
            <v>特定環境保全公共下水道</v>
          </cell>
          <cell r="I1398" t="str">
            <v>単独</v>
          </cell>
          <cell r="J1398" t="str">
            <v>002</v>
          </cell>
          <cell r="K1398" t="str">
            <v>牛滝浄化センター</v>
          </cell>
          <cell r="M1398" t="str">
            <v>1</v>
          </cell>
          <cell r="Q1398">
            <v>36251</v>
          </cell>
          <cell r="R1398" t="str">
            <v>平成</v>
          </cell>
          <cell r="S1398">
            <v>11</v>
          </cell>
          <cell r="T1398">
            <v>4</v>
          </cell>
          <cell r="AB1398">
            <v>710</v>
          </cell>
          <cell r="AC1398" t="str">
            <v>牛滝川</v>
          </cell>
          <cell r="AD1398" t="str">
            <v>Ｂ</v>
          </cell>
          <cell r="AE1398" t="str">
            <v>ロ</v>
          </cell>
          <cell r="AF1398">
            <v>10</v>
          </cell>
          <cell r="AG1398">
            <v>10</v>
          </cell>
          <cell r="AH1398">
            <v>1</v>
          </cell>
          <cell r="AI1398" t="str">
            <v>牛滝川</v>
          </cell>
          <cell r="AQ1398" t="str">
            <v/>
          </cell>
          <cell r="AR1398" t="str">
            <v>長時間エアレーション法</v>
          </cell>
          <cell r="AS1398" t="str">
            <v>2720202002</v>
          </cell>
          <cell r="AT1398" t="str">
            <v/>
          </cell>
          <cell r="AU1398" t="str">
            <v>00</v>
          </cell>
          <cell r="AV1398" t="str">
            <v>00</v>
          </cell>
          <cell r="AW1398">
            <v>0</v>
          </cell>
          <cell r="AX1398">
            <v>0</v>
          </cell>
          <cell r="AY1398">
            <v>0</v>
          </cell>
          <cell r="AZ1398">
            <v>0</v>
          </cell>
          <cell r="BA1398">
            <v>0</v>
          </cell>
          <cell r="BD1398" t="str">
            <v/>
          </cell>
          <cell r="BE1398">
            <v>1</v>
          </cell>
          <cell r="BG1398" t="str">
            <v>1000</v>
          </cell>
        </row>
        <row r="1399">
          <cell r="B1399" t="str">
            <v>G272030106100100</v>
          </cell>
          <cell r="C1399" t="str">
            <v>27.大阪府</v>
          </cell>
          <cell r="D1399" t="str">
            <v>203</v>
          </cell>
          <cell r="E1399" t="str">
            <v>豊中市</v>
          </cell>
          <cell r="F1399" t="str">
            <v>01</v>
          </cell>
          <cell r="G1399" t="str">
            <v>公共 単独</v>
          </cell>
          <cell r="H1399" t="str">
            <v>公共下水道</v>
          </cell>
          <cell r="I1399" t="str">
            <v>単独</v>
          </cell>
          <cell r="J1399" t="str">
            <v>001</v>
          </cell>
          <cell r="K1399" t="str">
            <v>庄内下水処理場</v>
          </cell>
          <cell r="M1399" t="str">
            <v>1</v>
          </cell>
          <cell r="N1399" t="str">
            <v>1</v>
          </cell>
          <cell r="Q1399">
            <v>26755</v>
          </cell>
          <cell r="R1399" t="str">
            <v>昭和</v>
          </cell>
          <cell r="S1399">
            <v>48</v>
          </cell>
          <cell r="T1399">
            <v>4</v>
          </cell>
          <cell r="AB1399">
            <v>35950</v>
          </cell>
          <cell r="AC1399" t="str">
            <v>神崎川</v>
          </cell>
          <cell r="AD1399" t="str">
            <v>Ｂ</v>
          </cell>
          <cell r="AE1399" t="str">
            <v>ロ</v>
          </cell>
          <cell r="AF1399">
            <v>9</v>
          </cell>
          <cell r="AG1399">
            <v>15</v>
          </cell>
          <cell r="AH1399">
            <v>1.8</v>
          </cell>
          <cell r="AK1399" t="str">
            <v>神崎川</v>
          </cell>
          <cell r="AQ1399" t="str">
            <v/>
          </cell>
          <cell r="AR1399" t="str">
            <v>ステップエアレーション法</v>
          </cell>
          <cell r="AS1399" t="str">
            <v>2720301001</v>
          </cell>
          <cell r="AT1399" t="str">
            <v/>
          </cell>
          <cell r="AU1399" t="str">
            <v>10</v>
          </cell>
          <cell r="AV1399" t="str">
            <v>10</v>
          </cell>
          <cell r="AW1399">
            <v>0</v>
          </cell>
          <cell r="AX1399">
            <v>0</v>
          </cell>
          <cell r="AY1399">
            <v>0</v>
          </cell>
          <cell r="AZ1399">
            <v>0</v>
          </cell>
          <cell r="BA1399">
            <v>0</v>
          </cell>
          <cell r="BD1399" t="str">
            <v/>
          </cell>
          <cell r="BE1399">
            <v>1</v>
          </cell>
          <cell r="BG1399" t="str">
            <v>1100</v>
          </cell>
        </row>
        <row r="1400">
          <cell r="B1400" t="str">
            <v>G272040106100100</v>
          </cell>
          <cell r="C1400" t="str">
            <v>27.大阪府</v>
          </cell>
          <cell r="D1400" t="str">
            <v>204</v>
          </cell>
          <cell r="E1400" t="str">
            <v>池田市</v>
          </cell>
          <cell r="F1400" t="str">
            <v>01</v>
          </cell>
          <cell r="G1400" t="str">
            <v>公共 単独</v>
          </cell>
          <cell r="H1400" t="str">
            <v>公共下水道</v>
          </cell>
          <cell r="I1400" t="str">
            <v>単独</v>
          </cell>
          <cell r="J1400" t="str">
            <v>001</v>
          </cell>
          <cell r="K1400" t="str">
            <v>池田市下水処理場</v>
          </cell>
          <cell r="M1400" t="str">
            <v>1</v>
          </cell>
          <cell r="N1400" t="str">
            <v>1</v>
          </cell>
          <cell r="P1400" t="str">
            <v>1</v>
          </cell>
          <cell r="Q1400">
            <v>24990</v>
          </cell>
          <cell r="R1400" t="str">
            <v>昭和</v>
          </cell>
          <cell r="S1400">
            <v>43</v>
          </cell>
          <cell r="T1400">
            <v>6</v>
          </cell>
          <cell r="AB1400">
            <v>23940</v>
          </cell>
          <cell r="AC1400" t="str">
            <v>神崎川水域</v>
          </cell>
          <cell r="AD1400" t="str">
            <v>Ｂ</v>
          </cell>
          <cell r="AE1400" t="str">
            <v>ロ</v>
          </cell>
          <cell r="AF1400">
            <v>15</v>
          </cell>
          <cell r="AK1400" t="str">
            <v>猪名川下流</v>
          </cell>
          <cell r="AL1400" t="str">
            <v>伊丹市上水</v>
          </cell>
          <cell r="AM1400">
            <v>0.3</v>
          </cell>
          <cell r="AO1400" t="str">
            <v>伊丹市</v>
          </cell>
          <cell r="AQ1400" t="str">
            <v/>
          </cell>
          <cell r="AR1400" t="str">
            <v>循環式硝化脱窒法</v>
          </cell>
          <cell r="AS1400" t="str">
            <v>2720401001</v>
          </cell>
          <cell r="AT1400" t="str">
            <v/>
          </cell>
          <cell r="AU1400" t="str">
            <v>10</v>
          </cell>
          <cell r="AV1400" t="str">
            <v>10</v>
          </cell>
          <cell r="AW1400">
            <v>1</v>
          </cell>
          <cell r="AX1400">
            <v>0</v>
          </cell>
          <cell r="AY1400">
            <v>0</v>
          </cell>
          <cell r="AZ1400">
            <v>0</v>
          </cell>
          <cell r="BA1400">
            <v>0</v>
          </cell>
          <cell r="BD1400" t="str">
            <v/>
          </cell>
          <cell r="BE1400">
            <v>1</v>
          </cell>
          <cell r="BG1400" t="str">
            <v>1101</v>
          </cell>
        </row>
        <row r="1401">
          <cell r="B1401" t="str">
            <v>G272050106100100</v>
          </cell>
          <cell r="C1401" t="str">
            <v>27.大阪府</v>
          </cell>
          <cell r="D1401" t="str">
            <v>205</v>
          </cell>
          <cell r="E1401" t="str">
            <v>吹田市</v>
          </cell>
          <cell r="F1401" t="str">
            <v>01</v>
          </cell>
          <cell r="G1401" t="str">
            <v>公共 単独</v>
          </cell>
          <cell r="H1401" t="str">
            <v>公共下水道</v>
          </cell>
          <cell r="I1401" t="str">
            <v>単独</v>
          </cell>
          <cell r="J1401" t="str">
            <v>001</v>
          </cell>
          <cell r="K1401" t="str">
            <v>正雀下水処理場</v>
          </cell>
          <cell r="M1401" t="str">
            <v>1</v>
          </cell>
          <cell r="N1401" t="str">
            <v>1</v>
          </cell>
          <cell r="Q1401">
            <v>23224</v>
          </cell>
          <cell r="R1401" t="str">
            <v>昭和</v>
          </cell>
          <cell r="S1401">
            <v>38</v>
          </cell>
          <cell r="T1401">
            <v>8</v>
          </cell>
          <cell r="AB1401">
            <v>45000</v>
          </cell>
          <cell r="AC1401" t="str">
            <v>安威川</v>
          </cell>
          <cell r="AD1401" t="str">
            <v>Ｂ</v>
          </cell>
          <cell r="AE1401" t="str">
            <v>ロ</v>
          </cell>
          <cell r="AF1401">
            <v>15</v>
          </cell>
          <cell r="AK1401" t="str">
            <v>正雀川</v>
          </cell>
          <cell r="AQ1401" t="str">
            <v/>
          </cell>
          <cell r="AR1401" t="str">
            <v>標準活性汚泥法</v>
          </cell>
          <cell r="AS1401" t="str">
            <v>2720501001</v>
          </cell>
          <cell r="AT1401" t="str">
            <v/>
          </cell>
          <cell r="AU1401" t="str">
            <v>10</v>
          </cell>
          <cell r="AV1401" t="str">
            <v>10</v>
          </cell>
          <cell r="AW1401">
            <v>0</v>
          </cell>
          <cell r="AX1401">
            <v>0</v>
          </cell>
          <cell r="AY1401">
            <v>0</v>
          </cell>
          <cell r="AZ1401">
            <v>0</v>
          </cell>
          <cell r="BA1401">
            <v>0</v>
          </cell>
          <cell r="BD1401" t="str">
            <v/>
          </cell>
          <cell r="BE1401">
            <v>1</v>
          </cell>
          <cell r="BG1401" t="str">
            <v>1100</v>
          </cell>
        </row>
        <row r="1402">
          <cell r="B1402" t="str">
            <v>G272050106100200</v>
          </cell>
          <cell r="C1402" t="str">
            <v>27.大阪府</v>
          </cell>
          <cell r="D1402" t="str">
            <v>205</v>
          </cell>
          <cell r="E1402" t="str">
            <v>吹田市</v>
          </cell>
          <cell r="F1402" t="str">
            <v>01</v>
          </cell>
          <cell r="G1402" t="str">
            <v>公共 単独</v>
          </cell>
          <cell r="H1402" t="str">
            <v>公共下水道</v>
          </cell>
          <cell r="I1402" t="str">
            <v>単独</v>
          </cell>
          <cell r="J1402" t="str">
            <v>002</v>
          </cell>
          <cell r="K1402" t="str">
            <v>川面下水処理場</v>
          </cell>
          <cell r="M1402" t="str">
            <v>1</v>
          </cell>
          <cell r="Q1402">
            <v>24289</v>
          </cell>
          <cell r="R1402" t="str">
            <v>昭和</v>
          </cell>
          <cell r="S1402">
            <v>41</v>
          </cell>
          <cell r="T1402">
            <v>7</v>
          </cell>
          <cell r="AB1402">
            <v>18140</v>
          </cell>
          <cell r="AC1402" t="str">
            <v>神崎川</v>
          </cell>
          <cell r="AD1402" t="str">
            <v>Ｂ</v>
          </cell>
          <cell r="AE1402" t="str">
            <v>ロ</v>
          </cell>
          <cell r="AF1402">
            <v>15</v>
          </cell>
          <cell r="AK1402" t="str">
            <v>神崎川</v>
          </cell>
          <cell r="AL1402" t="str">
            <v>一津屋取水場</v>
          </cell>
          <cell r="AM1402">
            <v>4</v>
          </cell>
          <cell r="AO1402" t="str">
            <v>神戸西宮伊丹芦屋尼崎</v>
          </cell>
          <cell r="AQ1402" t="str">
            <v/>
          </cell>
          <cell r="AR1402" t="str">
            <v>標準活性汚泥法</v>
          </cell>
          <cell r="AS1402" t="str">
            <v>2720501002</v>
          </cell>
          <cell r="AT1402" t="str">
            <v/>
          </cell>
          <cell r="AU1402" t="str">
            <v>00</v>
          </cell>
          <cell r="AV1402" t="str">
            <v>00</v>
          </cell>
          <cell r="AW1402">
            <v>0</v>
          </cell>
          <cell r="AX1402">
            <v>0</v>
          </cell>
          <cell r="AY1402">
            <v>0</v>
          </cell>
          <cell r="AZ1402">
            <v>0</v>
          </cell>
          <cell r="BA1402">
            <v>0</v>
          </cell>
          <cell r="BD1402" t="str">
            <v/>
          </cell>
          <cell r="BE1402">
            <v>1</v>
          </cell>
          <cell r="BG1402" t="str">
            <v>1000</v>
          </cell>
        </row>
        <row r="1403">
          <cell r="B1403" t="str">
            <v>G272050106100300</v>
          </cell>
          <cell r="C1403" t="str">
            <v>27.大阪府</v>
          </cell>
          <cell r="D1403" t="str">
            <v>205</v>
          </cell>
          <cell r="E1403" t="str">
            <v>吹田市</v>
          </cell>
          <cell r="F1403" t="str">
            <v>01</v>
          </cell>
          <cell r="G1403" t="str">
            <v>公共 単独</v>
          </cell>
          <cell r="H1403" t="str">
            <v>公共下水道</v>
          </cell>
          <cell r="I1403" t="str">
            <v>単独</v>
          </cell>
          <cell r="J1403" t="str">
            <v>003</v>
          </cell>
          <cell r="K1403" t="str">
            <v>南吹田下水処理場</v>
          </cell>
          <cell r="M1403" t="str">
            <v>1</v>
          </cell>
          <cell r="N1403" t="str">
            <v>1</v>
          </cell>
          <cell r="Q1403">
            <v>26846</v>
          </cell>
          <cell r="R1403" t="str">
            <v>昭和</v>
          </cell>
          <cell r="S1403">
            <v>48</v>
          </cell>
          <cell r="T1403">
            <v>7</v>
          </cell>
          <cell r="AB1403">
            <v>58400</v>
          </cell>
          <cell r="AC1403" t="str">
            <v>神崎川</v>
          </cell>
          <cell r="AD1403" t="str">
            <v>Ｂ</v>
          </cell>
          <cell r="AE1403" t="str">
            <v>ロ</v>
          </cell>
          <cell r="AF1403">
            <v>15</v>
          </cell>
          <cell r="AK1403" t="str">
            <v>神崎川</v>
          </cell>
          <cell r="AL1403" t="str">
            <v>一津屋取水場</v>
          </cell>
          <cell r="AM1403">
            <v>5.2</v>
          </cell>
          <cell r="AO1403" t="str">
            <v>神戸西宮伊丹芦屋尼崎</v>
          </cell>
          <cell r="AQ1403" t="str">
            <v/>
          </cell>
          <cell r="AR1403" t="str">
            <v>標準活性汚泥法</v>
          </cell>
          <cell r="AS1403" t="str">
            <v>2720501003</v>
          </cell>
          <cell r="AT1403" t="str">
            <v/>
          </cell>
          <cell r="AU1403" t="str">
            <v>10</v>
          </cell>
          <cell r="AV1403" t="str">
            <v>10</v>
          </cell>
          <cell r="AW1403">
            <v>0</v>
          </cell>
          <cell r="AX1403">
            <v>0</v>
          </cell>
          <cell r="AY1403">
            <v>0</v>
          </cell>
          <cell r="AZ1403">
            <v>0</v>
          </cell>
          <cell r="BA1403">
            <v>0</v>
          </cell>
          <cell r="BD1403" t="str">
            <v/>
          </cell>
          <cell r="BE1403">
            <v>1</v>
          </cell>
          <cell r="BG1403" t="str">
            <v>1100</v>
          </cell>
        </row>
        <row r="1404">
          <cell r="B1404" t="str">
            <v>G272060106100100</v>
          </cell>
          <cell r="C1404" t="str">
            <v>27.大阪府</v>
          </cell>
          <cell r="D1404" t="str">
            <v>206</v>
          </cell>
          <cell r="E1404" t="str">
            <v>泉大津市</v>
          </cell>
          <cell r="F1404" t="str">
            <v>01</v>
          </cell>
          <cell r="G1404" t="str">
            <v>公共 単独</v>
          </cell>
          <cell r="H1404" t="str">
            <v>公共下水道</v>
          </cell>
          <cell r="I1404" t="str">
            <v>単独</v>
          </cell>
          <cell r="J1404" t="str">
            <v>001</v>
          </cell>
          <cell r="K1404" t="str">
            <v>汐見下水処理場</v>
          </cell>
          <cell r="Q1404">
            <v>26938</v>
          </cell>
          <cell r="R1404" t="str">
            <v>昭和</v>
          </cell>
          <cell r="S1404">
            <v>48</v>
          </cell>
          <cell r="T1404">
            <v>10</v>
          </cell>
          <cell r="U1404" t="str">
            <v>廃止</v>
          </cell>
          <cell r="V1404">
            <v>40999</v>
          </cell>
          <cell r="W1404" t="str">
            <v>平成</v>
          </cell>
          <cell r="X1404">
            <v>24</v>
          </cell>
          <cell r="Y1404">
            <v>3</v>
          </cell>
          <cell r="AQ1404" t="str">
            <v>廃止</v>
          </cell>
          <cell r="AR1404" t="str">
            <v/>
          </cell>
          <cell r="AS1404" t="str">
            <v>2720601001</v>
          </cell>
          <cell r="AT1404">
            <v>1</v>
          </cell>
          <cell r="AU1404" t="str">
            <v>00</v>
          </cell>
          <cell r="AV1404" t="str">
            <v>00</v>
          </cell>
          <cell r="AW1404">
            <v>0</v>
          </cell>
          <cell r="AX1404">
            <v>0</v>
          </cell>
          <cell r="AY1404">
            <v>0</v>
          </cell>
          <cell r="AZ1404">
            <v>0</v>
          </cell>
          <cell r="BA1404">
            <v>0</v>
          </cell>
          <cell r="BD1404" t="str">
            <v/>
          </cell>
          <cell r="BE1404">
            <v>0</v>
          </cell>
          <cell r="BG1404">
            <v>9999</v>
          </cell>
        </row>
        <row r="1405">
          <cell r="B1405" t="str">
            <v>G272090106100100</v>
          </cell>
          <cell r="C1405" t="str">
            <v>27.大阪府</v>
          </cell>
          <cell r="D1405" t="str">
            <v>209</v>
          </cell>
          <cell r="E1405" t="str">
            <v>守口市</v>
          </cell>
          <cell r="F1405" t="str">
            <v>01</v>
          </cell>
          <cell r="G1405" t="str">
            <v>公共 単独</v>
          </cell>
          <cell r="H1405" t="str">
            <v>公共下水道</v>
          </cell>
          <cell r="I1405" t="str">
            <v>単独</v>
          </cell>
          <cell r="J1405" t="str">
            <v>001</v>
          </cell>
          <cell r="K1405" t="str">
            <v>守口処理場</v>
          </cell>
          <cell r="M1405" t="str">
            <v>1</v>
          </cell>
          <cell r="P1405" t="str">
            <v>1</v>
          </cell>
          <cell r="Q1405">
            <v>24198</v>
          </cell>
          <cell r="R1405" t="str">
            <v>昭和</v>
          </cell>
          <cell r="S1405">
            <v>41</v>
          </cell>
          <cell r="T1405">
            <v>4</v>
          </cell>
          <cell r="AB1405">
            <v>29840</v>
          </cell>
          <cell r="AC1405" t="str">
            <v>寝屋川</v>
          </cell>
          <cell r="AD1405" t="str">
            <v>Ｄ</v>
          </cell>
          <cell r="AE1405" t="str">
            <v>ロ</v>
          </cell>
          <cell r="AF1405">
            <v>15</v>
          </cell>
          <cell r="AG1405">
            <v>11</v>
          </cell>
          <cell r="AH1405">
            <v>1.2</v>
          </cell>
          <cell r="AK1405" t="str">
            <v>寝屋川</v>
          </cell>
          <cell r="AQ1405" t="str">
            <v/>
          </cell>
          <cell r="AR1405" t="str">
            <v>標準活性汚泥法</v>
          </cell>
          <cell r="AS1405" t="str">
            <v>2720901001</v>
          </cell>
          <cell r="AT1405" t="str">
            <v/>
          </cell>
          <cell r="AU1405" t="str">
            <v>00</v>
          </cell>
          <cell r="AV1405" t="str">
            <v>00</v>
          </cell>
          <cell r="AW1405">
            <v>1</v>
          </cell>
          <cell r="AX1405">
            <v>0</v>
          </cell>
          <cell r="AY1405">
            <v>0</v>
          </cell>
          <cell r="AZ1405">
            <v>0</v>
          </cell>
          <cell r="BA1405">
            <v>0</v>
          </cell>
          <cell r="BD1405" t="str">
            <v/>
          </cell>
          <cell r="BE1405">
            <v>1</v>
          </cell>
          <cell r="BG1405" t="str">
            <v>1001</v>
          </cell>
        </row>
        <row r="1406">
          <cell r="B1406" t="str">
            <v>G272160206100100</v>
          </cell>
          <cell r="C1406" t="str">
            <v>27.大阪府</v>
          </cell>
          <cell r="D1406" t="str">
            <v>216</v>
          </cell>
          <cell r="E1406" t="str">
            <v>河内長野市</v>
          </cell>
          <cell r="F1406" t="str">
            <v>02</v>
          </cell>
          <cell r="G1406" t="str">
            <v>特環 単独</v>
          </cell>
          <cell r="H1406" t="str">
            <v>特定環境保全公共下水道</v>
          </cell>
          <cell r="I1406" t="str">
            <v>単独</v>
          </cell>
          <cell r="J1406" t="str">
            <v>001</v>
          </cell>
          <cell r="K1406" t="str">
            <v>滝畑浄化センター</v>
          </cell>
          <cell r="M1406" t="str">
            <v>1</v>
          </cell>
          <cell r="N1406" t="str">
            <v>1</v>
          </cell>
          <cell r="Q1406">
            <v>37438</v>
          </cell>
          <cell r="R1406" t="str">
            <v>平成</v>
          </cell>
          <cell r="S1406">
            <v>14</v>
          </cell>
          <cell r="T1406">
            <v>7</v>
          </cell>
          <cell r="AB1406">
            <v>3123</v>
          </cell>
          <cell r="AC1406" t="str">
            <v>石川</v>
          </cell>
          <cell r="AD1406" t="str">
            <v>Ｂ</v>
          </cell>
          <cell r="AE1406" t="str">
            <v>イ</v>
          </cell>
          <cell r="AF1406">
            <v>10</v>
          </cell>
          <cell r="AG1406">
            <v>10</v>
          </cell>
          <cell r="AH1406">
            <v>1</v>
          </cell>
          <cell r="AK1406" t="str">
            <v>石川</v>
          </cell>
          <cell r="AL1406" t="str">
            <v>西代浄水場</v>
          </cell>
          <cell r="AN1406">
            <v>5</v>
          </cell>
          <cell r="AO1406" t="str">
            <v>河内長野市</v>
          </cell>
          <cell r="AQ1406" t="str">
            <v/>
          </cell>
          <cell r="AR1406" t="str">
            <v>嫌気好気活性汚泥法</v>
          </cell>
          <cell r="AS1406" t="str">
            <v>2721602001</v>
          </cell>
          <cell r="AT1406" t="str">
            <v/>
          </cell>
          <cell r="AU1406" t="str">
            <v>10</v>
          </cell>
          <cell r="AV1406" t="str">
            <v>10</v>
          </cell>
          <cell r="AW1406">
            <v>0</v>
          </cell>
          <cell r="AX1406">
            <v>0</v>
          </cell>
          <cell r="AY1406">
            <v>0</v>
          </cell>
          <cell r="AZ1406">
            <v>0</v>
          </cell>
          <cell r="BA1406">
            <v>0</v>
          </cell>
          <cell r="BD1406" t="str">
            <v/>
          </cell>
          <cell r="BE1406">
            <v>1</v>
          </cell>
          <cell r="BG1406" t="str">
            <v>1100</v>
          </cell>
        </row>
        <row r="1407">
          <cell r="B1407" t="str">
            <v>G272290106100100</v>
          </cell>
          <cell r="C1407" t="str">
            <v>27.大阪府</v>
          </cell>
          <cell r="D1407" t="str">
            <v>229</v>
          </cell>
          <cell r="E1407" t="str">
            <v>四條畷市</v>
          </cell>
          <cell r="F1407" t="str">
            <v>01</v>
          </cell>
          <cell r="G1407" t="str">
            <v>公共 単独</v>
          </cell>
          <cell r="H1407" t="str">
            <v>公共下水道</v>
          </cell>
          <cell r="I1407" t="str">
            <v>単独</v>
          </cell>
          <cell r="J1407" t="str">
            <v>001</v>
          </cell>
          <cell r="K1407" t="str">
            <v>田原処理場</v>
          </cell>
          <cell r="M1407" t="str">
            <v>1</v>
          </cell>
          <cell r="N1407" t="str">
            <v>1</v>
          </cell>
          <cell r="P1407" t="str">
            <v>1</v>
          </cell>
          <cell r="Q1407">
            <v>32933</v>
          </cell>
          <cell r="R1407" t="str">
            <v>平成</v>
          </cell>
          <cell r="S1407">
            <v>2</v>
          </cell>
          <cell r="T1407">
            <v>3</v>
          </cell>
          <cell r="AB1407">
            <v>22700</v>
          </cell>
          <cell r="AC1407" t="str">
            <v>天野川</v>
          </cell>
          <cell r="AD1407" t="str">
            <v>Ｂ</v>
          </cell>
          <cell r="AE1407" t="str">
            <v>ハ</v>
          </cell>
          <cell r="AF1407">
            <v>7</v>
          </cell>
          <cell r="AI1407" t="str">
            <v>戎川</v>
          </cell>
          <cell r="AK1407" t="str">
            <v>天野川</v>
          </cell>
          <cell r="AL1407" t="str">
            <v>木屋取水場</v>
          </cell>
          <cell r="AN1407">
            <v>17.100000000000001</v>
          </cell>
          <cell r="AO1407" t="str">
            <v>寝屋川市</v>
          </cell>
          <cell r="AQ1407" t="str">
            <v/>
          </cell>
          <cell r="AR1407" t="str">
            <v>長時間エアレーション法</v>
          </cell>
          <cell r="AS1407" t="str">
            <v>2722901001</v>
          </cell>
          <cell r="AT1407" t="str">
            <v/>
          </cell>
          <cell r="AU1407" t="str">
            <v>10</v>
          </cell>
          <cell r="AV1407" t="str">
            <v>10</v>
          </cell>
          <cell r="AW1407">
            <v>1</v>
          </cell>
          <cell r="AX1407">
            <v>0</v>
          </cell>
          <cell r="AY1407">
            <v>0</v>
          </cell>
          <cell r="AZ1407">
            <v>0</v>
          </cell>
          <cell r="BA1407">
            <v>0</v>
          </cell>
          <cell r="BD1407" t="str">
            <v/>
          </cell>
          <cell r="BE1407">
            <v>1</v>
          </cell>
          <cell r="BG1407" t="str">
            <v>1101</v>
          </cell>
        </row>
        <row r="1408">
          <cell r="B1408" t="str">
            <v>G273220106100100</v>
          </cell>
          <cell r="C1408" t="str">
            <v>27.大阪府</v>
          </cell>
          <cell r="D1408" t="str">
            <v>322</v>
          </cell>
          <cell r="E1408" t="str">
            <v>能勢町</v>
          </cell>
          <cell r="F1408" t="str">
            <v>01</v>
          </cell>
          <cell r="G1408" t="str">
            <v>公共 単独</v>
          </cell>
          <cell r="H1408" t="str">
            <v>公共下水道</v>
          </cell>
          <cell r="I1408" t="str">
            <v>単独</v>
          </cell>
          <cell r="J1408" t="str">
            <v>001</v>
          </cell>
          <cell r="K1408" t="str">
            <v>能勢浄化センター</v>
          </cell>
          <cell r="M1408" t="str">
            <v>1</v>
          </cell>
          <cell r="N1408" t="str">
            <v>1</v>
          </cell>
          <cell r="Q1408">
            <v>37316</v>
          </cell>
          <cell r="R1408" t="str">
            <v>平成</v>
          </cell>
          <cell r="S1408">
            <v>14</v>
          </cell>
          <cell r="T1408">
            <v>3</v>
          </cell>
          <cell r="AB1408">
            <v>28200</v>
          </cell>
          <cell r="AC1408" t="str">
            <v>神崎川</v>
          </cell>
          <cell r="AD1408" t="str">
            <v>Ｂ</v>
          </cell>
          <cell r="AE1408" t="str">
            <v>ハ</v>
          </cell>
          <cell r="AF1408">
            <v>10</v>
          </cell>
          <cell r="AG1408">
            <v>11</v>
          </cell>
          <cell r="AH1408">
            <v>1</v>
          </cell>
          <cell r="AI1408" t="str">
            <v>上杉川</v>
          </cell>
          <cell r="AK1408" t="str">
            <v>一庫大路次川</v>
          </cell>
          <cell r="AL1408" t="str">
            <v>多田浄水場</v>
          </cell>
          <cell r="AN1408">
            <v>10</v>
          </cell>
          <cell r="AO1408" t="str">
            <v>川西市他</v>
          </cell>
          <cell r="AQ1408" t="str">
            <v/>
          </cell>
          <cell r="AR1408" t="str">
            <v>オキシディションディッチ法</v>
          </cell>
          <cell r="AS1408" t="str">
            <v>2732201001</v>
          </cell>
          <cell r="AT1408" t="str">
            <v/>
          </cell>
          <cell r="AU1408" t="str">
            <v>10</v>
          </cell>
          <cell r="AV1408" t="str">
            <v>10</v>
          </cell>
          <cell r="AW1408">
            <v>0</v>
          </cell>
          <cell r="AX1408">
            <v>0</v>
          </cell>
          <cell r="AY1408">
            <v>0</v>
          </cell>
          <cell r="AZ1408">
            <v>0</v>
          </cell>
          <cell r="BA1408">
            <v>0</v>
          </cell>
          <cell r="BD1408" t="str">
            <v/>
          </cell>
          <cell r="BE1408">
            <v>1</v>
          </cell>
          <cell r="BG1408" t="str">
            <v>1100</v>
          </cell>
        </row>
        <row r="1409">
          <cell r="B1409" t="str">
            <v>G278010106100100</v>
          </cell>
          <cell r="C1409" t="str">
            <v>27.大阪府</v>
          </cell>
          <cell r="D1409" t="str">
            <v>801</v>
          </cell>
          <cell r="E1409" t="str">
            <v>泉北環境整備施設組合</v>
          </cell>
          <cell r="F1409" t="str">
            <v>01</v>
          </cell>
          <cell r="G1409" t="str">
            <v>公共 単独</v>
          </cell>
          <cell r="H1409" t="str">
            <v>公共下水道</v>
          </cell>
          <cell r="I1409" t="str">
            <v>単独</v>
          </cell>
          <cell r="J1409" t="str">
            <v>001</v>
          </cell>
          <cell r="K1409" t="str">
            <v>高石処理場</v>
          </cell>
          <cell r="M1409" t="str">
            <v>1</v>
          </cell>
          <cell r="Q1409">
            <v>26512</v>
          </cell>
          <cell r="R1409" t="str">
            <v>昭和</v>
          </cell>
          <cell r="S1409">
            <v>47</v>
          </cell>
          <cell r="T1409">
            <v>8</v>
          </cell>
          <cell r="AB1409">
            <v>36764</v>
          </cell>
          <cell r="AC1409" t="str">
            <v>大阪湾</v>
          </cell>
          <cell r="AD1409" t="str">
            <v>Ｃ</v>
          </cell>
          <cell r="AE1409" t="str">
            <v>イ</v>
          </cell>
          <cell r="AI1409" t="str">
            <v>大阪湾</v>
          </cell>
          <cell r="AQ1409" t="str">
            <v/>
          </cell>
          <cell r="AR1409" t="str">
            <v>標準活性汚泥法</v>
          </cell>
          <cell r="AS1409" t="str">
            <v>2780101001</v>
          </cell>
          <cell r="AT1409" t="str">
            <v/>
          </cell>
          <cell r="AU1409" t="str">
            <v>00</v>
          </cell>
          <cell r="AV1409" t="str">
            <v>00</v>
          </cell>
          <cell r="AW1409">
            <v>0</v>
          </cell>
          <cell r="AX1409">
            <v>0</v>
          </cell>
          <cell r="AY1409">
            <v>0</v>
          </cell>
          <cell r="AZ1409">
            <v>0</v>
          </cell>
          <cell r="BA1409">
            <v>0</v>
          </cell>
          <cell r="BD1409" t="str">
            <v/>
          </cell>
          <cell r="BE1409">
            <v>1</v>
          </cell>
          <cell r="BG1409" t="str">
            <v>1000</v>
          </cell>
        </row>
        <row r="1410">
          <cell r="B1410" t="str">
            <v>G280028106100100</v>
          </cell>
          <cell r="C1410" t="str">
            <v>28.兵庫県</v>
          </cell>
          <cell r="D1410" t="str">
            <v>002</v>
          </cell>
          <cell r="E1410" t="str">
            <v>武庫川流域</v>
          </cell>
          <cell r="F1410" t="str">
            <v>81</v>
          </cell>
          <cell r="G1410" t="str">
            <v>流域</v>
          </cell>
          <cell r="H1410" t="str">
            <v>流域下水道</v>
          </cell>
          <cell r="I1410" t="str">
            <v/>
          </cell>
          <cell r="J1410" t="str">
            <v>001</v>
          </cell>
          <cell r="K1410" t="str">
            <v>武庫川上流浄化センター</v>
          </cell>
          <cell r="M1410" t="str">
            <v>1</v>
          </cell>
          <cell r="P1410" t="str">
            <v>1</v>
          </cell>
          <cell r="Q1410">
            <v>31168</v>
          </cell>
          <cell r="R1410" t="str">
            <v>昭和</v>
          </cell>
          <cell r="S1410">
            <v>60</v>
          </cell>
          <cell r="T1410">
            <v>5</v>
          </cell>
          <cell r="AB1410">
            <v>141000</v>
          </cell>
          <cell r="AC1410" t="str">
            <v>武庫川中流</v>
          </cell>
          <cell r="AD1410" t="str">
            <v>Ｂ</v>
          </cell>
          <cell r="AE1410" t="str">
            <v>イ</v>
          </cell>
          <cell r="AF1410">
            <v>15</v>
          </cell>
          <cell r="AG1410">
            <v>11.2</v>
          </cell>
          <cell r="AH1410">
            <v>2.1</v>
          </cell>
          <cell r="AJ1410" t="str">
            <v>武庫川</v>
          </cell>
          <cell r="AL1410" t="str">
            <v>生瀬</v>
          </cell>
          <cell r="AN1410">
            <v>10</v>
          </cell>
          <cell r="AO1410" t="str">
            <v>宝塚市</v>
          </cell>
          <cell r="AQ1410" t="str">
            <v/>
          </cell>
          <cell r="AR1410" t="str">
            <v>循環式硝化脱窒法</v>
          </cell>
          <cell r="AS1410" t="str">
            <v>2800281001</v>
          </cell>
          <cell r="AT1410" t="str">
            <v/>
          </cell>
          <cell r="AU1410" t="str">
            <v>00</v>
          </cell>
          <cell r="AV1410" t="str">
            <v>00</v>
          </cell>
          <cell r="AW1410">
            <v>1</v>
          </cell>
          <cell r="AX1410">
            <v>0</v>
          </cell>
          <cell r="AY1410">
            <v>0</v>
          </cell>
          <cell r="AZ1410">
            <v>0</v>
          </cell>
          <cell r="BA1410">
            <v>0</v>
          </cell>
          <cell r="BD1410" t="str">
            <v/>
          </cell>
          <cell r="BE1410">
            <v>1</v>
          </cell>
          <cell r="BG1410" t="str">
            <v>1001</v>
          </cell>
        </row>
        <row r="1411">
          <cell r="B1411" t="str">
            <v>G280028106100200</v>
          </cell>
          <cell r="C1411" t="str">
            <v>28.兵庫県</v>
          </cell>
          <cell r="D1411" t="str">
            <v>002</v>
          </cell>
          <cell r="E1411" t="str">
            <v>武庫川流域</v>
          </cell>
          <cell r="F1411" t="str">
            <v>81</v>
          </cell>
          <cell r="G1411" t="str">
            <v>流域</v>
          </cell>
          <cell r="H1411" t="str">
            <v>流域下水道</v>
          </cell>
          <cell r="I1411" t="str">
            <v/>
          </cell>
          <cell r="J1411" t="str">
            <v>002</v>
          </cell>
          <cell r="K1411" t="str">
            <v>武庫川下流浄化センター</v>
          </cell>
          <cell r="M1411" t="str">
            <v>1</v>
          </cell>
          <cell r="P1411" t="str">
            <v>1</v>
          </cell>
          <cell r="Q1411">
            <v>28034</v>
          </cell>
          <cell r="R1411" t="str">
            <v>昭和</v>
          </cell>
          <cell r="S1411">
            <v>51</v>
          </cell>
          <cell r="T1411">
            <v>10</v>
          </cell>
          <cell r="AB1411">
            <v>258000</v>
          </cell>
          <cell r="AC1411" t="str">
            <v>大阪湾</v>
          </cell>
          <cell r="AD1411" t="str">
            <v>Ｃ</v>
          </cell>
          <cell r="AE1411" t="str">
            <v>イ</v>
          </cell>
          <cell r="AF1411">
            <v>15</v>
          </cell>
          <cell r="AG1411">
            <v>11.2</v>
          </cell>
          <cell r="AH1411">
            <v>2.1</v>
          </cell>
          <cell r="AI1411" t="str">
            <v>大阪湾</v>
          </cell>
          <cell r="AJ1411" t="str">
            <v>武庫川</v>
          </cell>
          <cell r="AQ1411" t="str">
            <v/>
          </cell>
          <cell r="AR1411" t="str">
            <v>標準活性汚泥法</v>
          </cell>
          <cell r="AS1411" t="str">
            <v>2800281002</v>
          </cell>
          <cell r="AT1411" t="str">
            <v/>
          </cell>
          <cell r="AU1411" t="str">
            <v>00</v>
          </cell>
          <cell r="AV1411" t="str">
            <v>00</v>
          </cell>
          <cell r="AW1411">
            <v>1</v>
          </cell>
          <cell r="AX1411">
            <v>0</v>
          </cell>
          <cell r="AY1411">
            <v>0</v>
          </cell>
          <cell r="AZ1411">
            <v>0</v>
          </cell>
          <cell r="BA1411">
            <v>0</v>
          </cell>
          <cell r="BD1411" t="str">
            <v/>
          </cell>
          <cell r="BE1411">
            <v>1</v>
          </cell>
          <cell r="BG1411" t="str">
            <v>1001</v>
          </cell>
        </row>
        <row r="1412">
          <cell r="B1412" t="str">
            <v>G280028106100300</v>
          </cell>
          <cell r="C1412" t="str">
            <v>28.兵庫県</v>
          </cell>
          <cell r="D1412" t="str">
            <v>002</v>
          </cell>
          <cell r="E1412" t="str">
            <v>武庫川流域</v>
          </cell>
          <cell r="F1412" t="str">
            <v>81</v>
          </cell>
          <cell r="G1412" t="str">
            <v>流域</v>
          </cell>
          <cell r="H1412" t="str">
            <v>流域下水道</v>
          </cell>
          <cell r="I1412" t="str">
            <v/>
          </cell>
          <cell r="J1412" t="str">
            <v>003</v>
          </cell>
          <cell r="K1412" t="str">
            <v>兵庫東流域下水汚泥広域処理場</v>
          </cell>
          <cell r="N1412" t="str">
            <v>1</v>
          </cell>
          <cell r="Q1412">
            <v>32599</v>
          </cell>
          <cell r="R1412" t="str">
            <v>平成</v>
          </cell>
          <cell r="S1412">
            <v>1</v>
          </cell>
          <cell r="T1412">
            <v>4</v>
          </cell>
          <cell r="AB1412">
            <v>47000</v>
          </cell>
          <cell r="AC1412" t="str">
            <v>該当しない</v>
          </cell>
          <cell r="AI1412" t="str">
            <v>該当しない</v>
          </cell>
          <cell r="AQ1412" t="str">
            <v/>
          </cell>
          <cell r="AR1412" t="str">
            <v/>
          </cell>
          <cell r="AS1412" t="str">
            <v>2800281003</v>
          </cell>
          <cell r="AT1412" t="str">
            <v/>
          </cell>
          <cell r="AU1412" t="str">
            <v>10</v>
          </cell>
          <cell r="AV1412" t="str">
            <v>10</v>
          </cell>
          <cell r="AW1412">
            <v>0</v>
          </cell>
          <cell r="AX1412">
            <v>0</v>
          </cell>
          <cell r="AY1412">
            <v>0</v>
          </cell>
          <cell r="AZ1412">
            <v>0</v>
          </cell>
          <cell r="BA1412">
            <v>0</v>
          </cell>
          <cell r="BD1412" t="str">
            <v/>
          </cell>
          <cell r="BE1412">
            <v>1</v>
          </cell>
          <cell r="BG1412" t="str">
            <v>0100</v>
          </cell>
        </row>
        <row r="1413">
          <cell r="B1413" t="str">
            <v>G280038106100100</v>
          </cell>
          <cell r="C1413" t="str">
            <v>28.兵庫県</v>
          </cell>
          <cell r="D1413" t="str">
            <v>003</v>
          </cell>
          <cell r="E1413" t="str">
            <v>加古川流域</v>
          </cell>
          <cell r="F1413" t="str">
            <v>81</v>
          </cell>
          <cell r="G1413" t="str">
            <v>流域</v>
          </cell>
          <cell r="H1413" t="str">
            <v>流域下水道</v>
          </cell>
          <cell r="I1413" t="str">
            <v/>
          </cell>
          <cell r="J1413" t="str">
            <v>001</v>
          </cell>
          <cell r="K1413" t="str">
            <v>加古川上流浄化センター</v>
          </cell>
          <cell r="M1413" t="str">
            <v>1</v>
          </cell>
          <cell r="N1413" t="str">
            <v>1</v>
          </cell>
          <cell r="P1413" t="str">
            <v>1</v>
          </cell>
          <cell r="Q1413">
            <v>33025</v>
          </cell>
          <cell r="R1413" t="str">
            <v>平成</v>
          </cell>
          <cell r="S1413">
            <v>2</v>
          </cell>
          <cell r="T1413">
            <v>6</v>
          </cell>
          <cell r="AB1413">
            <v>169000</v>
          </cell>
          <cell r="AC1413" t="str">
            <v>加古川下流</v>
          </cell>
          <cell r="AD1413" t="str">
            <v>Ｂ</v>
          </cell>
          <cell r="AE1413" t="str">
            <v>ロ</v>
          </cell>
          <cell r="AF1413">
            <v>9</v>
          </cell>
          <cell r="AG1413">
            <v>15</v>
          </cell>
          <cell r="AH1413">
            <v>3</v>
          </cell>
          <cell r="AK1413" t="str">
            <v>加古川</v>
          </cell>
          <cell r="AL1413" t="str">
            <v>来住粟生簡易水道取水口</v>
          </cell>
          <cell r="AN1413">
            <v>5.6</v>
          </cell>
          <cell r="AO1413" t="str">
            <v>加古川市</v>
          </cell>
          <cell r="AQ1413" t="str">
            <v/>
          </cell>
          <cell r="AR1413" t="str">
            <v>循環式硝化脱窒法</v>
          </cell>
          <cell r="AS1413" t="str">
            <v>2800381001</v>
          </cell>
          <cell r="AT1413" t="str">
            <v/>
          </cell>
          <cell r="AU1413" t="str">
            <v>10</v>
          </cell>
          <cell r="AV1413" t="str">
            <v>10</v>
          </cell>
          <cell r="AW1413">
            <v>1</v>
          </cell>
          <cell r="AX1413">
            <v>0</v>
          </cell>
          <cell r="AY1413">
            <v>0</v>
          </cell>
          <cell r="AZ1413">
            <v>0</v>
          </cell>
          <cell r="BA1413">
            <v>0</v>
          </cell>
          <cell r="BD1413" t="str">
            <v/>
          </cell>
          <cell r="BE1413">
            <v>1</v>
          </cell>
          <cell r="BG1413" t="str">
            <v>1101</v>
          </cell>
        </row>
        <row r="1414">
          <cell r="B1414" t="str">
            <v>G280038106100200</v>
          </cell>
          <cell r="C1414" t="str">
            <v>28.兵庫県</v>
          </cell>
          <cell r="D1414" t="str">
            <v>003</v>
          </cell>
          <cell r="E1414" t="str">
            <v>加古川流域</v>
          </cell>
          <cell r="F1414" t="str">
            <v>81</v>
          </cell>
          <cell r="G1414" t="str">
            <v>流域</v>
          </cell>
          <cell r="H1414" t="str">
            <v>流域下水道</v>
          </cell>
          <cell r="I1414" t="str">
            <v/>
          </cell>
          <cell r="J1414" t="str">
            <v>002</v>
          </cell>
          <cell r="K1414" t="str">
            <v>加古川下流浄化センター</v>
          </cell>
          <cell r="M1414" t="str">
            <v>1</v>
          </cell>
          <cell r="N1414" t="str">
            <v>1</v>
          </cell>
          <cell r="P1414" t="str">
            <v>1</v>
          </cell>
          <cell r="Q1414">
            <v>33756</v>
          </cell>
          <cell r="R1414" t="str">
            <v>平成</v>
          </cell>
          <cell r="S1414">
            <v>4</v>
          </cell>
          <cell r="T1414">
            <v>6</v>
          </cell>
          <cell r="AB1414">
            <v>176000</v>
          </cell>
          <cell r="AC1414" t="str">
            <v>播磨海域</v>
          </cell>
          <cell r="AD1414" t="str">
            <v>Ｃ</v>
          </cell>
          <cell r="AE1414" t="str">
            <v>イ</v>
          </cell>
          <cell r="AF1414">
            <v>15</v>
          </cell>
          <cell r="AG1414">
            <v>20</v>
          </cell>
          <cell r="AH1414">
            <v>3</v>
          </cell>
          <cell r="AJ1414" t="str">
            <v>泊川</v>
          </cell>
          <cell r="AQ1414" t="str">
            <v/>
          </cell>
          <cell r="AR1414" t="str">
            <v>標準活性汚泥法</v>
          </cell>
          <cell r="AS1414" t="str">
            <v>2800381002</v>
          </cell>
          <cell r="AT1414" t="str">
            <v/>
          </cell>
          <cell r="AU1414" t="str">
            <v>10</v>
          </cell>
          <cell r="AV1414" t="str">
            <v>10</v>
          </cell>
          <cell r="AW1414">
            <v>1</v>
          </cell>
          <cell r="AX1414">
            <v>0</v>
          </cell>
          <cell r="AY1414">
            <v>0</v>
          </cell>
          <cell r="AZ1414">
            <v>0</v>
          </cell>
          <cell r="BA1414">
            <v>0</v>
          </cell>
          <cell r="BD1414" t="str">
            <v/>
          </cell>
          <cell r="BE1414">
            <v>1</v>
          </cell>
          <cell r="BG1414" t="str">
            <v>1101</v>
          </cell>
        </row>
        <row r="1415">
          <cell r="B1415" t="str">
            <v>G280048106100100</v>
          </cell>
          <cell r="C1415" t="str">
            <v>28.兵庫県</v>
          </cell>
          <cell r="D1415" t="str">
            <v>004</v>
          </cell>
          <cell r="E1415" t="str">
            <v>揖保川流域</v>
          </cell>
          <cell r="F1415" t="str">
            <v>81</v>
          </cell>
          <cell r="G1415" t="str">
            <v>流域</v>
          </cell>
          <cell r="H1415" t="str">
            <v>流域下水道</v>
          </cell>
          <cell r="I1415" t="str">
            <v/>
          </cell>
          <cell r="J1415" t="str">
            <v>001</v>
          </cell>
          <cell r="K1415" t="str">
            <v>揖保川浄化センター</v>
          </cell>
          <cell r="M1415" t="str">
            <v>1</v>
          </cell>
          <cell r="Q1415">
            <v>32295</v>
          </cell>
          <cell r="R1415" t="str">
            <v>昭和</v>
          </cell>
          <cell r="S1415">
            <v>63</v>
          </cell>
          <cell r="T1415">
            <v>6</v>
          </cell>
          <cell r="AB1415">
            <v>404406</v>
          </cell>
          <cell r="AC1415" t="str">
            <v>播磨海域</v>
          </cell>
          <cell r="AD1415" t="str">
            <v>Ｂ</v>
          </cell>
          <cell r="AE1415" t="str">
            <v>ロ</v>
          </cell>
          <cell r="AF1415">
            <v>15</v>
          </cell>
          <cell r="AI1415" t="str">
            <v>播磨海域</v>
          </cell>
          <cell r="AQ1415" t="str">
            <v/>
          </cell>
          <cell r="AR1415" t="str">
            <v>その他処理方法</v>
          </cell>
          <cell r="AS1415" t="str">
            <v>2800481001</v>
          </cell>
          <cell r="AT1415" t="str">
            <v/>
          </cell>
          <cell r="AU1415" t="str">
            <v>00</v>
          </cell>
          <cell r="AV1415" t="str">
            <v>00</v>
          </cell>
          <cell r="AW1415">
            <v>0</v>
          </cell>
          <cell r="AX1415">
            <v>0</v>
          </cell>
          <cell r="AY1415">
            <v>0</v>
          </cell>
          <cell r="AZ1415">
            <v>0</v>
          </cell>
          <cell r="BA1415">
            <v>0</v>
          </cell>
          <cell r="BD1415" t="str">
            <v/>
          </cell>
          <cell r="BE1415">
            <v>1</v>
          </cell>
          <cell r="BG1415" t="str">
            <v>1000</v>
          </cell>
        </row>
        <row r="1416">
          <cell r="B1416" t="str">
            <v>G280048106100200</v>
          </cell>
          <cell r="C1416" t="str">
            <v>28.兵庫県</v>
          </cell>
          <cell r="D1416" t="str">
            <v>004</v>
          </cell>
          <cell r="E1416" t="str">
            <v>揖保川流域</v>
          </cell>
          <cell r="F1416" t="str">
            <v>81</v>
          </cell>
          <cell r="G1416" t="str">
            <v>流域</v>
          </cell>
          <cell r="H1416" t="str">
            <v>流域下水道</v>
          </cell>
          <cell r="I1416" t="str">
            <v/>
          </cell>
          <cell r="J1416" t="str">
            <v>002</v>
          </cell>
          <cell r="K1416" t="str">
            <v>兵庫西流域下水汚泥広域処理場</v>
          </cell>
          <cell r="N1416" t="str">
            <v>1</v>
          </cell>
          <cell r="O1416" t="str">
            <v>1</v>
          </cell>
          <cell r="Q1416">
            <v>32813</v>
          </cell>
          <cell r="R1416" t="str">
            <v>平成</v>
          </cell>
          <cell r="S1416">
            <v>1</v>
          </cell>
          <cell r="T1416">
            <v>11</v>
          </cell>
          <cell r="AB1416">
            <v>126159</v>
          </cell>
          <cell r="AC1416" t="str">
            <v>該当しない</v>
          </cell>
          <cell r="AI1416" t="str">
            <v>該当しない</v>
          </cell>
          <cell r="AQ1416" t="str">
            <v/>
          </cell>
          <cell r="AR1416" t="str">
            <v/>
          </cell>
          <cell r="AS1416" t="str">
            <v>2800481002</v>
          </cell>
          <cell r="AT1416" t="str">
            <v/>
          </cell>
          <cell r="AU1416" t="str">
            <v>11</v>
          </cell>
          <cell r="AV1416" t="str">
            <v>11</v>
          </cell>
          <cell r="AW1416">
            <v>0</v>
          </cell>
          <cell r="AX1416">
            <v>0</v>
          </cell>
          <cell r="AY1416">
            <v>0</v>
          </cell>
          <cell r="AZ1416">
            <v>0</v>
          </cell>
          <cell r="BA1416">
            <v>0</v>
          </cell>
          <cell r="BD1416" t="str">
            <v/>
          </cell>
          <cell r="BE1416">
            <v>1</v>
          </cell>
          <cell r="BG1416" t="str">
            <v>0110</v>
          </cell>
        </row>
        <row r="1417">
          <cell r="B1417" t="str">
            <v>G281000106100100</v>
          </cell>
          <cell r="C1417" t="str">
            <v>28.兵庫県</v>
          </cell>
          <cell r="D1417" t="str">
            <v>100</v>
          </cell>
          <cell r="E1417" t="str">
            <v>神戸市</v>
          </cell>
          <cell r="F1417" t="str">
            <v>01</v>
          </cell>
          <cell r="G1417" t="str">
            <v>公共 単独</v>
          </cell>
          <cell r="H1417" t="str">
            <v>公共下水道</v>
          </cell>
          <cell r="I1417" t="str">
            <v>単独</v>
          </cell>
          <cell r="J1417" t="str">
            <v>001</v>
          </cell>
          <cell r="K1417" t="str">
            <v>東灘処理場</v>
          </cell>
          <cell r="M1417" t="str">
            <v>1</v>
          </cell>
          <cell r="N1417" t="str">
            <v>1</v>
          </cell>
          <cell r="P1417" t="str">
            <v>1</v>
          </cell>
          <cell r="Q1417">
            <v>22920</v>
          </cell>
          <cell r="R1417" t="str">
            <v>昭和</v>
          </cell>
          <cell r="S1417">
            <v>37</v>
          </cell>
          <cell r="T1417">
            <v>10</v>
          </cell>
          <cell r="AB1417">
            <v>170000</v>
          </cell>
          <cell r="AC1417" t="str">
            <v>大阪湾</v>
          </cell>
          <cell r="AD1417" t="str">
            <v>Ｃ</v>
          </cell>
          <cell r="AE1417" t="str">
            <v>イ</v>
          </cell>
          <cell r="AF1417">
            <v>15</v>
          </cell>
          <cell r="AI1417" t="str">
            <v>大阪湾</v>
          </cell>
          <cell r="AQ1417" t="str">
            <v/>
          </cell>
          <cell r="AR1417" t="str">
            <v>嫌気好気活性汚泥法</v>
          </cell>
          <cell r="AS1417" t="str">
            <v>2810001001</v>
          </cell>
          <cell r="AT1417" t="str">
            <v/>
          </cell>
          <cell r="AU1417" t="str">
            <v>10</v>
          </cell>
          <cell r="AV1417" t="str">
            <v>10</v>
          </cell>
          <cell r="AW1417">
            <v>1</v>
          </cell>
          <cell r="AX1417">
            <v>0</v>
          </cell>
          <cell r="AY1417">
            <v>0</v>
          </cell>
          <cell r="AZ1417">
            <v>0</v>
          </cell>
          <cell r="BA1417">
            <v>0</v>
          </cell>
          <cell r="BD1417" t="str">
            <v/>
          </cell>
          <cell r="BE1417">
            <v>1</v>
          </cell>
          <cell r="BG1417" t="str">
            <v>1101</v>
          </cell>
        </row>
        <row r="1418">
          <cell r="B1418" t="str">
            <v>G281000106100200</v>
          </cell>
          <cell r="C1418" t="str">
            <v>28.兵庫県</v>
          </cell>
          <cell r="D1418" t="str">
            <v>100</v>
          </cell>
          <cell r="E1418" t="str">
            <v>神戸市</v>
          </cell>
          <cell r="F1418" t="str">
            <v>01</v>
          </cell>
          <cell r="G1418" t="str">
            <v>公共 単独</v>
          </cell>
          <cell r="H1418" t="str">
            <v>公共下水道</v>
          </cell>
          <cell r="I1418" t="str">
            <v>単独</v>
          </cell>
          <cell r="J1418" t="str">
            <v>002</v>
          </cell>
          <cell r="K1418" t="str">
            <v>ポートアイランド処理場</v>
          </cell>
          <cell r="M1418" t="str">
            <v>1</v>
          </cell>
          <cell r="P1418" t="str">
            <v>1</v>
          </cell>
          <cell r="Q1418">
            <v>29342</v>
          </cell>
          <cell r="R1418" t="str">
            <v>昭和</v>
          </cell>
          <cell r="S1418">
            <v>55</v>
          </cell>
          <cell r="T1418">
            <v>5</v>
          </cell>
          <cell r="AB1418">
            <v>63200</v>
          </cell>
          <cell r="AC1418" t="str">
            <v>大阪湾</v>
          </cell>
          <cell r="AD1418" t="str">
            <v>Ｃ</v>
          </cell>
          <cell r="AE1418" t="str">
            <v>イ</v>
          </cell>
          <cell r="AF1418">
            <v>10</v>
          </cell>
          <cell r="AG1418">
            <v>13</v>
          </cell>
          <cell r="AH1418">
            <v>2.2999999999999998</v>
          </cell>
          <cell r="AI1418" t="str">
            <v>大阪湾</v>
          </cell>
          <cell r="AQ1418" t="str">
            <v/>
          </cell>
          <cell r="AR1418" t="str">
            <v>嫌気無酸素好気法</v>
          </cell>
          <cell r="AS1418" t="str">
            <v>2810001002</v>
          </cell>
          <cell r="AT1418" t="str">
            <v/>
          </cell>
          <cell r="AU1418" t="str">
            <v>00</v>
          </cell>
          <cell r="AV1418" t="str">
            <v>00</v>
          </cell>
          <cell r="AW1418">
            <v>1</v>
          </cell>
          <cell r="AX1418">
            <v>0</v>
          </cell>
          <cell r="AY1418">
            <v>0</v>
          </cell>
          <cell r="AZ1418">
            <v>0</v>
          </cell>
          <cell r="BA1418">
            <v>0</v>
          </cell>
          <cell r="BD1418" t="str">
            <v/>
          </cell>
          <cell r="BE1418">
            <v>1</v>
          </cell>
          <cell r="BG1418" t="str">
            <v>1001</v>
          </cell>
        </row>
        <row r="1419">
          <cell r="B1419" t="str">
            <v>G281000106100400</v>
          </cell>
          <cell r="C1419" t="str">
            <v>28.兵庫県</v>
          </cell>
          <cell r="D1419" t="str">
            <v>100</v>
          </cell>
          <cell r="E1419" t="str">
            <v>神戸市</v>
          </cell>
          <cell r="F1419" t="str">
            <v>01</v>
          </cell>
          <cell r="G1419" t="str">
            <v>公共 単独</v>
          </cell>
          <cell r="H1419" t="str">
            <v>公共下水道</v>
          </cell>
          <cell r="I1419" t="str">
            <v>単独</v>
          </cell>
          <cell r="J1419" t="str">
            <v>004</v>
          </cell>
          <cell r="K1419" t="str">
            <v>鈴蘭台処理場</v>
          </cell>
          <cell r="M1419" t="str">
            <v>1</v>
          </cell>
          <cell r="P1419" t="str">
            <v>1</v>
          </cell>
          <cell r="Q1419">
            <v>25082</v>
          </cell>
          <cell r="R1419" t="str">
            <v>昭和</v>
          </cell>
          <cell r="S1419">
            <v>43</v>
          </cell>
          <cell r="T1419">
            <v>9</v>
          </cell>
          <cell r="AB1419">
            <v>32100</v>
          </cell>
          <cell r="AF1419">
            <v>10</v>
          </cell>
          <cell r="AG1419">
            <v>16</v>
          </cell>
          <cell r="AH1419">
            <v>2.9</v>
          </cell>
          <cell r="AI1419" t="str">
            <v>石井川</v>
          </cell>
          <cell r="AJ1419" t="str">
            <v>新湊川</v>
          </cell>
          <cell r="AQ1419" t="str">
            <v/>
          </cell>
          <cell r="AR1419" t="str">
            <v>循環式硝化脱窒法</v>
          </cell>
          <cell r="AS1419" t="str">
            <v>2810001004</v>
          </cell>
          <cell r="AT1419" t="str">
            <v/>
          </cell>
          <cell r="AU1419" t="str">
            <v>00</v>
          </cell>
          <cell r="AV1419" t="str">
            <v>00</v>
          </cell>
          <cell r="AW1419">
            <v>1</v>
          </cell>
          <cell r="AX1419">
            <v>0</v>
          </cell>
          <cell r="AY1419">
            <v>0</v>
          </cell>
          <cell r="AZ1419">
            <v>0</v>
          </cell>
          <cell r="BA1419">
            <v>0</v>
          </cell>
          <cell r="BD1419" t="str">
            <v/>
          </cell>
          <cell r="BE1419">
            <v>1</v>
          </cell>
          <cell r="BG1419" t="str">
            <v>1001</v>
          </cell>
        </row>
        <row r="1420">
          <cell r="B1420" t="str">
            <v>G281000106100500</v>
          </cell>
          <cell r="C1420" t="str">
            <v>28.兵庫県</v>
          </cell>
          <cell r="D1420" t="str">
            <v>100</v>
          </cell>
          <cell r="E1420" t="str">
            <v>神戸市</v>
          </cell>
          <cell r="F1420" t="str">
            <v>01</v>
          </cell>
          <cell r="G1420" t="str">
            <v>公共 単独</v>
          </cell>
          <cell r="H1420" t="str">
            <v>公共下水道</v>
          </cell>
          <cell r="I1420" t="str">
            <v>単独</v>
          </cell>
          <cell r="J1420" t="str">
            <v>005</v>
          </cell>
          <cell r="K1420" t="str">
            <v>西部処理場</v>
          </cell>
          <cell r="M1420" t="str">
            <v>1</v>
          </cell>
          <cell r="N1420" t="str">
            <v>1</v>
          </cell>
          <cell r="P1420" t="str">
            <v>1</v>
          </cell>
          <cell r="Q1420">
            <v>23833</v>
          </cell>
          <cell r="R1420" t="str">
            <v>昭和</v>
          </cell>
          <cell r="S1420">
            <v>40</v>
          </cell>
          <cell r="T1420">
            <v>4</v>
          </cell>
          <cell r="AB1420">
            <v>57000</v>
          </cell>
          <cell r="AC1420" t="str">
            <v>大阪湾</v>
          </cell>
          <cell r="AE1420" t="str">
            <v>ロ</v>
          </cell>
          <cell r="AF1420">
            <v>15</v>
          </cell>
          <cell r="AI1420" t="str">
            <v>大阪湾</v>
          </cell>
          <cell r="AQ1420" t="str">
            <v/>
          </cell>
          <cell r="AR1420" t="str">
            <v>標準活性汚泥法</v>
          </cell>
          <cell r="AS1420" t="str">
            <v>2810001005</v>
          </cell>
          <cell r="AT1420" t="str">
            <v/>
          </cell>
          <cell r="AU1420" t="str">
            <v>10</v>
          </cell>
          <cell r="AV1420" t="str">
            <v>10</v>
          </cell>
          <cell r="AW1420">
            <v>1</v>
          </cell>
          <cell r="AX1420">
            <v>0</v>
          </cell>
          <cell r="AY1420">
            <v>0</v>
          </cell>
          <cell r="AZ1420">
            <v>0</v>
          </cell>
          <cell r="BA1420">
            <v>0</v>
          </cell>
          <cell r="BD1420" t="str">
            <v/>
          </cell>
          <cell r="BE1420">
            <v>1</v>
          </cell>
          <cell r="BG1420" t="str">
            <v>1101</v>
          </cell>
        </row>
        <row r="1421">
          <cell r="B1421" t="str">
            <v>G281000106100600</v>
          </cell>
          <cell r="C1421" t="str">
            <v>28.兵庫県</v>
          </cell>
          <cell r="D1421" t="str">
            <v>100</v>
          </cell>
          <cell r="E1421" t="str">
            <v>神戸市</v>
          </cell>
          <cell r="F1421" t="str">
            <v>01</v>
          </cell>
          <cell r="G1421" t="str">
            <v>公共 単独</v>
          </cell>
          <cell r="H1421" t="str">
            <v>公共下水道</v>
          </cell>
          <cell r="I1421" t="str">
            <v>単独</v>
          </cell>
          <cell r="J1421" t="str">
            <v>006</v>
          </cell>
          <cell r="K1421" t="str">
            <v>垂水処理場</v>
          </cell>
          <cell r="M1421" t="str">
            <v>1</v>
          </cell>
          <cell r="N1421" t="str">
            <v>1</v>
          </cell>
          <cell r="O1421" t="str">
            <v>1</v>
          </cell>
          <cell r="P1421" t="str">
            <v>1</v>
          </cell>
          <cell r="Q1421">
            <v>27242</v>
          </cell>
          <cell r="R1421" t="str">
            <v>昭和</v>
          </cell>
          <cell r="S1421">
            <v>49</v>
          </cell>
          <cell r="T1421">
            <v>8</v>
          </cell>
          <cell r="AB1421">
            <v>389300</v>
          </cell>
          <cell r="AC1421" t="str">
            <v>大阪湾</v>
          </cell>
          <cell r="AD1421" t="str">
            <v>Ａ</v>
          </cell>
          <cell r="AE1421" t="str">
            <v>イ</v>
          </cell>
          <cell r="AF1421">
            <v>15</v>
          </cell>
          <cell r="AI1421" t="str">
            <v>大阪湾</v>
          </cell>
          <cell r="AQ1421" t="str">
            <v/>
          </cell>
          <cell r="AR1421" t="str">
            <v>ステップ流入式多段硝化脱窒法</v>
          </cell>
          <cell r="AS1421" t="str">
            <v>2810001006</v>
          </cell>
          <cell r="AT1421" t="str">
            <v/>
          </cell>
          <cell r="AU1421" t="str">
            <v>11</v>
          </cell>
          <cell r="AV1421" t="str">
            <v>11</v>
          </cell>
          <cell r="AW1421">
            <v>1</v>
          </cell>
          <cell r="AX1421">
            <v>0</v>
          </cell>
          <cell r="AY1421">
            <v>0</v>
          </cell>
          <cell r="AZ1421">
            <v>0</v>
          </cell>
          <cell r="BA1421">
            <v>0</v>
          </cell>
          <cell r="BD1421" t="str">
            <v/>
          </cell>
          <cell r="BE1421">
            <v>1</v>
          </cell>
          <cell r="BG1421" t="str">
            <v>1111</v>
          </cell>
        </row>
        <row r="1422">
          <cell r="B1422" t="str">
            <v>G281000106100700</v>
          </cell>
          <cell r="C1422" t="str">
            <v>28.兵庫県</v>
          </cell>
          <cell r="D1422" t="str">
            <v>100</v>
          </cell>
          <cell r="E1422" t="str">
            <v>神戸市</v>
          </cell>
          <cell r="F1422" t="str">
            <v>01</v>
          </cell>
          <cell r="G1422" t="str">
            <v>公共 単独</v>
          </cell>
          <cell r="H1422" t="str">
            <v>公共下水道</v>
          </cell>
          <cell r="I1422" t="str">
            <v>単独</v>
          </cell>
          <cell r="J1422" t="str">
            <v>007</v>
          </cell>
          <cell r="K1422" t="str">
            <v>玉津処理場</v>
          </cell>
          <cell r="M1422" t="str">
            <v>1</v>
          </cell>
          <cell r="N1422" t="str">
            <v>1</v>
          </cell>
          <cell r="P1422" t="str">
            <v>1</v>
          </cell>
          <cell r="Q1422">
            <v>29799</v>
          </cell>
          <cell r="R1422" t="str">
            <v>昭和</v>
          </cell>
          <cell r="S1422">
            <v>56</v>
          </cell>
          <cell r="T1422">
            <v>8</v>
          </cell>
          <cell r="AB1422">
            <v>84300</v>
          </cell>
          <cell r="AC1422" t="str">
            <v>明石川上流</v>
          </cell>
          <cell r="AD1422" t="str">
            <v>Ｂ</v>
          </cell>
          <cell r="AE1422" t="str">
            <v>イ</v>
          </cell>
          <cell r="AF1422">
            <v>9.1</v>
          </cell>
          <cell r="AG1422">
            <v>17</v>
          </cell>
          <cell r="AH1422">
            <v>3</v>
          </cell>
          <cell r="AJ1422" t="str">
            <v>明石川</v>
          </cell>
          <cell r="AL1422" t="str">
            <v>明石川取水場</v>
          </cell>
          <cell r="AM1422">
            <v>0.8</v>
          </cell>
          <cell r="AO1422" t="str">
            <v>明石市</v>
          </cell>
          <cell r="AQ1422" t="str">
            <v/>
          </cell>
          <cell r="AR1422" t="str">
            <v>嫌気無酸素好気法</v>
          </cell>
          <cell r="AS1422" t="str">
            <v>2810001007</v>
          </cell>
          <cell r="AT1422" t="str">
            <v/>
          </cell>
          <cell r="AU1422" t="str">
            <v>10</v>
          </cell>
          <cell r="AV1422" t="str">
            <v>10</v>
          </cell>
          <cell r="AW1422">
            <v>1</v>
          </cell>
          <cell r="AX1422">
            <v>0</v>
          </cell>
          <cell r="AY1422">
            <v>0</v>
          </cell>
          <cell r="AZ1422">
            <v>0</v>
          </cell>
          <cell r="BA1422">
            <v>0</v>
          </cell>
          <cell r="BD1422" t="str">
            <v/>
          </cell>
          <cell r="BE1422">
            <v>1</v>
          </cell>
          <cell r="BG1422" t="str">
            <v>1101</v>
          </cell>
        </row>
        <row r="1423">
          <cell r="B1423" t="str">
            <v>G281000106100800</v>
          </cell>
          <cell r="C1423" t="str">
            <v>28.兵庫県</v>
          </cell>
          <cell r="D1423" t="str">
            <v>100</v>
          </cell>
          <cell r="E1423" t="str">
            <v>神戸市</v>
          </cell>
          <cell r="F1423" t="str">
            <v>01</v>
          </cell>
          <cell r="G1423" t="str">
            <v>公共 単独</v>
          </cell>
          <cell r="H1423" t="str">
            <v>公共下水道</v>
          </cell>
          <cell r="I1423" t="str">
            <v>単独</v>
          </cell>
          <cell r="J1423" t="str">
            <v>008</v>
          </cell>
          <cell r="K1423" t="str">
            <v>東部スラッジセンター</v>
          </cell>
          <cell r="N1423" t="str">
            <v>1</v>
          </cell>
          <cell r="Q1423">
            <v>31564</v>
          </cell>
          <cell r="R1423" t="str">
            <v>昭和</v>
          </cell>
          <cell r="S1423">
            <v>61</v>
          </cell>
          <cell r="T1423">
            <v>6</v>
          </cell>
          <cell r="AB1423">
            <v>20000</v>
          </cell>
          <cell r="AC1423" t="str">
            <v>該当しない</v>
          </cell>
          <cell r="AI1423" t="str">
            <v>該当しない</v>
          </cell>
          <cell r="AQ1423" t="str">
            <v/>
          </cell>
          <cell r="AR1423" t="str">
            <v/>
          </cell>
          <cell r="AS1423" t="str">
            <v>2810001008</v>
          </cell>
          <cell r="AT1423" t="str">
            <v/>
          </cell>
          <cell r="AU1423" t="str">
            <v>10</v>
          </cell>
          <cell r="AV1423" t="str">
            <v>10</v>
          </cell>
          <cell r="AW1423">
            <v>0</v>
          </cell>
          <cell r="AX1423">
            <v>0</v>
          </cell>
          <cell r="AY1423">
            <v>0</v>
          </cell>
          <cell r="AZ1423">
            <v>0</v>
          </cell>
          <cell r="BA1423">
            <v>0</v>
          </cell>
          <cell r="BD1423" t="str">
            <v/>
          </cell>
          <cell r="BE1423">
            <v>1</v>
          </cell>
          <cell r="BG1423" t="str">
            <v>0100</v>
          </cell>
        </row>
        <row r="1424">
          <cell r="B1424" t="str">
            <v>G282010106100100</v>
          </cell>
          <cell r="C1424" t="str">
            <v>28.兵庫県</v>
          </cell>
          <cell r="D1424" t="str">
            <v>201</v>
          </cell>
          <cell r="E1424" t="str">
            <v>姫路市</v>
          </cell>
          <cell r="F1424" t="str">
            <v>01</v>
          </cell>
          <cell r="G1424" t="str">
            <v>公共 単独</v>
          </cell>
          <cell r="H1424" t="str">
            <v>公共下水道</v>
          </cell>
          <cell r="I1424" t="str">
            <v>単独</v>
          </cell>
          <cell r="J1424" t="str">
            <v>001</v>
          </cell>
          <cell r="K1424" t="str">
            <v>中部終末処理場</v>
          </cell>
          <cell r="M1424" t="str">
            <v>1</v>
          </cell>
          <cell r="P1424" t="str">
            <v>1</v>
          </cell>
          <cell r="Q1424">
            <v>28946</v>
          </cell>
          <cell r="R1424" t="str">
            <v>昭和</v>
          </cell>
          <cell r="S1424">
            <v>54</v>
          </cell>
          <cell r="T1424">
            <v>4</v>
          </cell>
          <cell r="AB1424">
            <v>215500</v>
          </cell>
          <cell r="AC1424" t="str">
            <v>飾磨港内</v>
          </cell>
          <cell r="AD1424" t="str">
            <v>Ｃ</v>
          </cell>
          <cell r="AE1424" t="str">
            <v>イ</v>
          </cell>
          <cell r="AF1424">
            <v>15</v>
          </cell>
          <cell r="AH1424">
            <v>3</v>
          </cell>
          <cell r="AJ1424" t="str">
            <v>船場川</v>
          </cell>
          <cell r="AL1424" t="str">
            <v>保城浄水場</v>
          </cell>
          <cell r="AM1424">
            <v>10.5</v>
          </cell>
          <cell r="AO1424" t="str">
            <v>姫路市</v>
          </cell>
          <cell r="AQ1424" t="str">
            <v/>
          </cell>
          <cell r="AR1424" t="str">
            <v>標準活性汚泥法</v>
          </cell>
          <cell r="AS1424" t="str">
            <v>2820101001</v>
          </cell>
          <cell r="AT1424" t="str">
            <v/>
          </cell>
          <cell r="AU1424" t="str">
            <v>00</v>
          </cell>
          <cell r="AV1424" t="str">
            <v>00</v>
          </cell>
          <cell r="AW1424">
            <v>1</v>
          </cell>
          <cell r="AX1424">
            <v>0</v>
          </cell>
          <cell r="AY1424">
            <v>0</v>
          </cell>
          <cell r="AZ1424">
            <v>0</v>
          </cell>
          <cell r="BA1424">
            <v>0</v>
          </cell>
          <cell r="BD1424" t="str">
            <v/>
          </cell>
          <cell r="BE1424">
            <v>1</v>
          </cell>
          <cell r="BG1424" t="str">
            <v>1001</v>
          </cell>
        </row>
        <row r="1425">
          <cell r="B1425" t="str">
            <v>G282010106100200</v>
          </cell>
          <cell r="C1425" t="str">
            <v>28.兵庫県</v>
          </cell>
          <cell r="D1425" t="str">
            <v>201</v>
          </cell>
          <cell r="E1425" t="str">
            <v>姫路市</v>
          </cell>
          <cell r="F1425" t="str">
            <v>01</v>
          </cell>
          <cell r="G1425" t="str">
            <v>公共 単独</v>
          </cell>
          <cell r="H1425" t="str">
            <v>公共下水道</v>
          </cell>
          <cell r="I1425" t="str">
            <v>単独</v>
          </cell>
          <cell r="J1425" t="str">
            <v>002</v>
          </cell>
          <cell r="K1425" t="str">
            <v>東部終末処理場</v>
          </cell>
          <cell r="M1425" t="str">
            <v>1</v>
          </cell>
          <cell r="Q1425">
            <v>30407</v>
          </cell>
          <cell r="R1425" t="str">
            <v>昭和</v>
          </cell>
          <cell r="S1425">
            <v>58</v>
          </cell>
          <cell r="T1425">
            <v>4</v>
          </cell>
          <cell r="AB1425">
            <v>216000</v>
          </cell>
          <cell r="AC1425" t="str">
            <v>白浜沖</v>
          </cell>
          <cell r="AD1425" t="str">
            <v>Ｂ</v>
          </cell>
          <cell r="AE1425" t="str">
            <v>ロ</v>
          </cell>
          <cell r="AF1425">
            <v>15</v>
          </cell>
          <cell r="AJ1425" t="str">
            <v>八家川</v>
          </cell>
          <cell r="AQ1425" t="str">
            <v/>
          </cell>
          <cell r="AR1425" t="str">
            <v>酸素活性汚泥法</v>
          </cell>
          <cell r="AS1425" t="str">
            <v>2820101002</v>
          </cell>
          <cell r="AT1425" t="str">
            <v/>
          </cell>
          <cell r="AU1425" t="str">
            <v>00</v>
          </cell>
          <cell r="AV1425" t="str">
            <v>00</v>
          </cell>
          <cell r="AW1425">
            <v>0</v>
          </cell>
          <cell r="AX1425">
            <v>0</v>
          </cell>
          <cell r="AY1425">
            <v>0</v>
          </cell>
          <cell r="AZ1425">
            <v>0</v>
          </cell>
          <cell r="BA1425">
            <v>0</v>
          </cell>
          <cell r="BD1425" t="str">
            <v/>
          </cell>
          <cell r="BE1425">
            <v>1</v>
          </cell>
          <cell r="BG1425" t="str">
            <v>1000</v>
          </cell>
        </row>
        <row r="1426">
          <cell r="B1426" t="str">
            <v>G282010106100300</v>
          </cell>
          <cell r="C1426" t="str">
            <v>28.兵庫県</v>
          </cell>
          <cell r="D1426" t="str">
            <v>201</v>
          </cell>
          <cell r="E1426" t="str">
            <v>姫路市</v>
          </cell>
          <cell r="F1426" t="str">
            <v>01</v>
          </cell>
          <cell r="G1426" t="str">
            <v>公共 単独</v>
          </cell>
          <cell r="H1426" t="str">
            <v>公共下水道</v>
          </cell>
          <cell r="I1426" t="str">
            <v>単独</v>
          </cell>
          <cell r="J1426" t="str">
            <v>003</v>
          </cell>
          <cell r="K1426" t="str">
            <v>大塩終末処理場</v>
          </cell>
          <cell r="M1426" t="str">
            <v>1</v>
          </cell>
          <cell r="N1426" t="str">
            <v>1</v>
          </cell>
          <cell r="P1426" t="str">
            <v>1</v>
          </cell>
          <cell r="Q1426">
            <v>32660</v>
          </cell>
          <cell r="R1426" t="str">
            <v>平成</v>
          </cell>
          <cell r="S1426">
            <v>1</v>
          </cell>
          <cell r="T1426">
            <v>6</v>
          </cell>
          <cell r="AB1426">
            <v>38400</v>
          </cell>
          <cell r="AC1426" t="str">
            <v>大塩港内</v>
          </cell>
          <cell r="AD1426" t="str">
            <v>Ｃ</v>
          </cell>
          <cell r="AE1426" t="str">
            <v>イ</v>
          </cell>
          <cell r="AF1426">
            <v>15</v>
          </cell>
          <cell r="AH1426">
            <v>3</v>
          </cell>
          <cell r="AJ1426" t="str">
            <v>天川</v>
          </cell>
          <cell r="AQ1426" t="str">
            <v/>
          </cell>
          <cell r="AR1426" t="str">
            <v>標準活性汚泥法</v>
          </cell>
          <cell r="AS1426" t="str">
            <v>2820101003</v>
          </cell>
          <cell r="AT1426" t="str">
            <v/>
          </cell>
          <cell r="AU1426" t="str">
            <v>10</v>
          </cell>
          <cell r="AV1426" t="str">
            <v>10</v>
          </cell>
          <cell r="AW1426">
            <v>1</v>
          </cell>
          <cell r="AX1426">
            <v>0</v>
          </cell>
          <cell r="AY1426">
            <v>0</v>
          </cell>
          <cell r="AZ1426">
            <v>0</v>
          </cell>
          <cell r="BA1426">
            <v>0</v>
          </cell>
          <cell r="BD1426" t="str">
            <v/>
          </cell>
          <cell r="BE1426">
            <v>1</v>
          </cell>
          <cell r="BG1426" t="str">
            <v>1101</v>
          </cell>
        </row>
        <row r="1427">
          <cell r="B1427" t="str">
            <v>G282010106100400</v>
          </cell>
          <cell r="C1427" t="str">
            <v>28.兵庫県</v>
          </cell>
          <cell r="D1427" t="str">
            <v>201</v>
          </cell>
          <cell r="E1427" t="str">
            <v>姫路市</v>
          </cell>
          <cell r="F1427" t="str">
            <v>01</v>
          </cell>
          <cell r="G1427" t="str">
            <v>公共 単独</v>
          </cell>
          <cell r="H1427" t="str">
            <v>公共下水道</v>
          </cell>
          <cell r="I1427" t="str">
            <v>単独</v>
          </cell>
          <cell r="J1427" t="str">
            <v>004</v>
          </cell>
          <cell r="K1427" t="str">
            <v>清水苑</v>
          </cell>
          <cell r="M1427" t="str">
            <v>1</v>
          </cell>
          <cell r="N1427" t="str">
            <v>1</v>
          </cell>
          <cell r="Q1427">
            <v>36617</v>
          </cell>
          <cell r="R1427" t="str">
            <v>平成</v>
          </cell>
          <cell r="S1427">
            <v>12</v>
          </cell>
          <cell r="T1427">
            <v>4</v>
          </cell>
          <cell r="AB1427">
            <v>28000</v>
          </cell>
          <cell r="AC1427" t="str">
            <v>市川上流</v>
          </cell>
          <cell r="AD1427" t="str">
            <v>Ａ</v>
          </cell>
          <cell r="AE1427" t="str">
            <v>イ</v>
          </cell>
          <cell r="AF1427">
            <v>15</v>
          </cell>
          <cell r="AH1427">
            <v>3</v>
          </cell>
          <cell r="AJ1427" t="str">
            <v>市川</v>
          </cell>
          <cell r="AL1427" t="str">
            <v>甲山取水口</v>
          </cell>
          <cell r="AN1427">
            <v>7</v>
          </cell>
          <cell r="AO1427" t="str">
            <v>姫路市</v>
          </cell>
          <cell r="AQ1427" t="str">
            <v/>
          </cell>
          <cell r="AR1427" t="str">
            <v>標準活性汚泥法</v>
          </cell>
          <cell r="AS1427" t="str">
            <v>2820101004</v>
          </cell>
          <cell r="AT1427" t="str">
            <v/>
          </cell>
          <cell r="AU1427" t="str">
            <v>10</v>
          </cell>
          <cell r="AV1427" t="str">
            <v>10</v>
          </cell>
          <cell r="AW1427">
            <v>0</v>
          </cell>
          <cell r="AX1427">
            <v>0</v>
          </cell>
          <cell r="AY1427">
            <v>0</v>
          </cell>
          <cell r="AZ1427">
            <v>0</v>
          </cell>
          <cell r="BA1427">
            <v>0</v>
          </cell>
          <cell r="BD1427" t="str">
            <v/>
          </cell>
          <cell r="BE1427">
            <v>1</v>
          </cell>
          <cell r="BG1427" t="str">
            <v>1100</v>
          </cell>
        </row>
        <row r="1428">
          <cell r="B1428" t="str">
            <v>G282010206100500</v>
          </cell>
          <cell r="C1428" t="str">
            <v>28.兵庫県</v>
          </cell>
          <cell r="D1428" t="str">
            <v>201</v>
          </cell>
          <cell r="E1428" t="str">
            <v>姫路市</v>
          </cell>
          <cell r="F1428" t="str">
            <v>02</v>
          </cell>
          <cell r="G1428" t="str">
            <v>特環 単独</v>
          </cell>
          <cell r="H1428" t="str">
            <v>特定環境保全公共下水道</v>
          </cell>
          <cell r="I1428" t="str">
            <v>単独</v>
          </cell>
          <cell r="J1428" t="str">
            <v>005</v>
          </cell>
          <cell r="K1428" t="str">
            <v>城山浄化センター</v>
          </cell>
          <cell r="M1428" t="str">
            <v>1</v>
          </cell>
          <cell r="N1428" t="str">
            <v>1</v>
          </cell>
          <cell r="Q1428">
            <v>36251</v>
          </cell>
          <cell r="R1428" t="str">
            <v>平成</v>
          </cell>
          <cell r="S1428">
            <v>11</v>
          </cell>
          <cell r="T1428">
            <v>4</v>
          </cell>
          <cell r="AB1428">
            <v>6609</v>
          </cell>
          <cell r="AC1428" t="str">
            <v>夢前川上流</v>
          </cell>
          <cell r="AD1428" t="str">
            <v>Ａ</v>
          </cell>
          <cell r="AE1428" t="str">
            <v>イ</v>
          </cell>
          <cell r="AI1428" t="str">
            <v>夢前川</v>
          </cell>
          <cell r="AQ1428" t="str">
            <v/>
          </cell>
          <cell r="AR1428" t="str">
            <v>オキシディションディッチ法</v>
          </cell>
          <cell r="AS1428" t="str">
            <v>2820102005</v>
          </cell>
          <cell r="AT1428" t="str">
            <v/>
          </cell>
          <cell r="AU1428" t="str">
            <v>10</v>
          </cell>
          <cell r="AV1428" t="str">
            <v>10</v>
          </cell>
          <cell r="AW1428">
            <v>0</v>
          </cell>
          <cell r="AX1428">
            <v>0</v>
          </cell>
          <cell r="AY1428">
            <v>0</v>
          </cell>
          <cell r="AZ1428">
            <v>0</v>
          </cell>
          <cell r="BA1428">
            <v>0</v>
          </cell>
          <cell r="BD1428" t="str">
            <v/>
          </cell>
          <cell r="BE1428">
            <v>1</v>
          </cell>
          <cell r="BG1428" t="str">
            <v>1100</v>
          </cell>
        </row>
        <row r="1429">
          <cell r="B1429" t="str">
            <v>G282010206100600</v>
          </cell>
          <cell r="C1429" t="str">
            <v>28.兵庫県</v>
          </cell>
          <cell r="D1429" t="str">
            <v>201</v>
          </cell>
          <cell r="E1429" t="str">
            <v>姫路市</v>
          </cell>
          <cell r="F1429" t="str">
            <v>02</v>
          </cell>
          <cell r="G1429" t="str">
            <v>特環 単独</v>
          </cell>
          <cell r="H1429" t="str">
            <v>特定環境保全公共下水道</v>
          </cell>
          <cell r="I1429" t="str">
            <v>単独</v>
          </cell>
          <cell r="J1429" t="str">
            <v>006</v>
          </cell>
          <cell r="K1429" t="str">
            <v>家島浄化センター</v>
          </cell>
          <cell r="M1429" t="str">
            <v>1</v>
          </cell>
          <cell r="N1429" t="str">
            <v>1</v>
          </cell>
          <cell r="Q1429">
            <v>36951</v>
          </cell>
          <cell r="R1429" t="str">
            <v>平成</v>
          </cell>
          <cell r="S1429">
            <v>13</v>
          </cell>
          <cell r="T1429">
            <v>3</v>
          </cell>
          <cell r="AB1429">
            <v>5000</v>
          </cell>
          <cell r="AC1429" t="str">
            <v>播磨海域(13)</v>
          </cell>
          <cell r="AD1429" t="str">
            <v>Ａ</v>
          </cell>
          <cell r="AE1429" t="str">
            <v>イ</v>
          </cell>
          <cell r="AI1429" t="str">
            <v>播磨海域（13）</v>
          </cell>
          <cell r="AQ1429" t="str">
            <v/>
          </cell>
          <cell r="AR1429" t="str">
            <v>長時間エアレーション法</v>
          </cell>
          <cell r="AS1429" t="str">
            <v>2820102006</v>
          </cell>
          <cell r="AT1429" t="str">
            <v/>
          </cell>
          <cell r="AU1429" t="str">
            <v>10</v>
          </cell>
          <cell r="AV1429" t="str">
            <v>10</v>
          </cell>
          <cell r="AW1429">
            <v>0</v>
          </cell>
          <cell r="AX1429">
            <v>0</v>
          </cell>
          <cell r="AY1429">
            <v>0</v>
          </cell>
          <cell r="AZ1429">
            <v>0</v>
          </cell>
          <cell r="BA1429">
            <v>0</v>
          </cell>
          <cell r="BD1429" t="str">
            <v/>
          </cell>
          <cell r="BE1429">
            <v>1</v>
          </cell>
          <cell r="BG1429" t="str">
            <v>1100</v>
          </cell>
        </row>
        <row r="1430">
          <cell r="B1430" t="str">
            <v>G282020106100100</v>
          </cell>
          <cell r="C1430" t="str">
            <v>28.兵庫県</v>
          </cell>
          <cell r="D1430" t="str">
            <v>202</v>
          </cell>
          <cell r="E1430" t="str">
            <v>尼崎市</v>
          </cell>
          <cell r="F1430" t="str">
            <v>01</v>
          </cell>
          <cell r="G1430" t="str">
            <v>公共 単独</v>
          </cell>
          <cell r="H1430" t="str">
            <v>公共下水道</v>
          </cell>
          <cell r="I1430" t="str">
            <v>単独</v>
          </cell>
          <cell r="J1430" t="str">
            <v>001</v>
          </cell>
          <cell r="K1430" t="str">
            <v>北部浄化センター</v>
          </cell>
          <cell r="M1430" t="str">
            <v>1</v>
          </cell>
          <cell r="P1430" t="str">
            <v>1</v>
          </cell>
          <cell r="Q1430">
            <v>30195</v>
          </cell>
          <cell r="R1430" t="str">
            <v>昭和</v>
          </cell>
          <cell r="S1430">
            <v>57</v>
          </cell>
          <cell r="T1430">
            <v>9</v>
          </cell>
          <cell r="AB1430">
            <v>62600</v>
          </cell>
          <cell r="AC1430" t="str">
            <v>猪名川</v>
          </cell>
          <cell r="AD1430" t="str">
            <v>Ｄ</v>
          </cell>
          <cell r="AE1430" t="str">
            <v>イ</v>
          </cell>
          <cell r="AK1430" t="str">
            <v>猪名川</v>
          </cell>
          <cell r="AQ1430" t="str">
            <v/>
          </cell>
          <cell r="AR1430" t="str">
            <v>標準活性汚泥法</v>
          </cell>
          <cell r="AS1430" t="str">
            <v>2820201001</v>
          </cell>
          <cell r="AT1430" t="str">
            <v/>
          </cell>
          <cell r="AU1430" t="str">
            <v>00</v>
          </cell>
          <cell r="AV1430" t="str">
            <v>00</v>
          </cell>
          <cell r="AW1430">
            <v>1</v>
          </cell>
          <cell r="AX1430">
            <v>0</v>
          </cell>
          <cell r="AY1430">
            <v>0</v>
          </cell>
          <cell r="AZ1430">
            <v>0</v>
          </cell>
          <cell r="BA1430">
            <v>0</v>
          </cell>
          <cell r="BD1430" t="str">
            <v/>
          </cell>
          <cell r="BE1430">
            <v>1</v>
          </cell>
          <cell r="BG1430" t="str">
            <v>1001</v>
          </cell>
        </row>
        <row r="1431">
          <cell r="B1431" t="str">
            <v>G282020106100200</v>
          </cell>
          <cell r="C1431" t="str">
            <v>28.兵庫県</v>
          </cell>
          <cell r="D1431" t="str">
            <v>202</v>
          </cell>
          <cell r="E1431" t="str">
            <v>尼崎市</v>
          </cell>
          <cell r="F1431" t="str">
            <v>01</v>
          </cell>
          <cell r="G1431" t="str">
            <v>公共 単独</v>
          </cell>
          <cell r="H1431" t="str">
            <v>公共下水道</v>
          </cell>
          <cell r="I1431" t="str">
            <v>単独</v>
          </cell>
          <cell r="J1431" t="str">
            <v>002</v>
          </cell>
          <cell r="K1431" t="str">
            <v>東部浄化センター</v>
          </cell>
          <cell r="M1431" t="str">
            <v>1</v>
          </cell>
          <cell r="P1431" t="str">
            <v>1</v>
          </cell>
          <cell r="Q1431">
            <v>30225</v>
          </cell>
          <cell r="R1431" t="str">
            <v>昭和</v>
          </cell>
          <cell r="S1431">
            <v>57</v>
          </cell>
          <cell r="T1431">
            <v>10</v>
          </cell>
          <cell r="AB1431">
            <v>88000</v>
          </cell>
          <cell r="AC1431" t="str">
            <v>神崎川</v>
          </cell>
          <cell r="AD1431" t="str">
            <v>Ｂ</v>
          </cell>
          <cell r="AE1431" t="str">
            <v>ロ</v>
          </cell>
          <cell r="AK1431" t="str">
            <v>左門殿川</v>
          </cell>
          <cell r="AQ1431" t="str">
            <v/>
          </cell>
          <cell r="AR1431" t="str">
            <v>標準活性汚泥法</v>
          </cell>
          <cell r="AS1431" t="str">
            <v>2820201002</v>
          </cell>
          <cell r="AT1431" t="str">
            <v/>
          </cell>
          <cell r="AU1431" t="str">
            <v>00</v>
          </cell>
          <cell r="AV1431" t="str">
            <v>00</v>
          </cell>
          <cell r="AW1431">
            <v>1</v>
          </cell>
          <cell r="AX1431">
            <v>0</v>
          </cell>
          <cell r="AY1431">
            <v>0</v>
          </cell>
          <cell r="AZ1431">
            <v>0</v>
          </cell>
          <cell r="BA1431">
            <v>0</v>
          </cell>
          <cell r="BD1431" t="str">
            <v/>
          </cell>
          <cell r="BE1431">
            <v>1</v>
          </cell>
          <cell r="BG1431" t="str">
            <v>1001</v>
          </cell>
        </row>
        <row r="1432">
          <cell r="B1432" t="str">
            <v>G282030106100100</v>
          </cell>
          <cell r="C1432" t="str">
            <v>28.兵庫県</v>
          </cell>
          <cell r="D1432" t="str">
            <v>203</v>
          </cell>
          <cell r="E1432" t="str">
            <v>明石市</v>
          </cell>
          <cell r="F1432" t="str">
            <v>01</v>
          </cell>
          <cell r="G1432" t="str">
            <v>公共 単独</v>
          </cell>
          <cell r="H1432" t="str">
            <v>公共下水道</v>
          </cell>
          <cell r="I1432" t="str">
            <v>単独</v>
          </cell>
          <cell r="J1432" t="str">
            <v>001</v>
          </cell>
          <cell r="K1432" t="str">
            <v>船上浄化センター</v>
          </cell>
          <cell r="M1432" t="str">
            <v>1</v>
          </cell>
          <cell r="N1432" t="str">
            <v>1</v>
          </cell>
          <cell r="Q1432">
            <v>26085</v>
          </cell>
          <cell r="R1432" t="str">
            <v>昭和</v>
          </cell>
          <cell r="S1432">
            <v>46</v>
          </cell>
          <cell r="T1432">
            <v>6</v>
          </cell>
          <cell r="AB1432">
            <v>22150</v>
          </cell>
          <cell r="AC1432" t="str">
            <v>播磨海域(12)</v>
          </cell>
          <cell r="AD1432" t="str">
            <v>Ｂ</v>
          </cell>
          <cell r="AE1432" t="str">
            <v>イ</v>
          </cell>
          <cell r="AF1432">
            <v>15</v>
          </cell>
          <cell r="AH1432">
            <v>3</v>
          </cell>
          <cell r="AJ1432" t="str">
            <v>明石川</v>
          </cell>
          <cell r="AQ1432" t="str">
            <v/>
          </cell>
          <cell r="AR1432" t="str">
            <v>標準活性汚泥法</v>
          </cell>
          <cell r="AS1432" t="str">
            <v>2820301001</v>
          </cell>
          <cell r="AT1432" t="str">
            <v/>
          </cell>
          <cell r="AU1432" t="str">
            <v>10</v>
          </cell>
          <cell r="AV1432" t="str">
            <v>10</v>
          </cell>
          <cell r="AW1432">
            <v>0</v>
          </cell>
          <cell r="AX1432">
            <v>0</v>
          </cell>
          <cell r="AY1432">
            <v>0</v>
          </cell>
          <cell r="AZ1432">
            <v>0</v>
          </cell>
          <cell r="BA1432">
            <v>0</v>
          </cell>
          <cell r="BD1432" t="str">
            <v/>
          </cell>
          <cell r="BE1432">
            <v>1</v>
          </cell>
          <cell r="BG1432" t="str">
            <v>1100</v>
          </cell>
        </row>
        <row r="1433">
          <cell r="B1433" t="str">
            <v>G282030106100200</v>
          </cell>
          <cell r="C1433" t="str">
            <v>28.兵庫県</v>
          </cell>
          <cell r="D1433" t="str">
            <v>203</v>
          </cell>
          <cell r="E1433" t="str">
            <v>明石市</v>
          </cell>
          <cell r="F1433" t="str">
            <v>01</v>
          </cell>
          <cell r="G1433" t="str">
            <v>公共 単独</v>
          </cell>
          <cell r="H1433" t="str">
            <v>公共下水道</v>
          </cell>
          <cell r="I1433" t="str">
            <v>単独</v>
          </cell>
          <cell r="J1433" t="str">
            <v>002</v>
          </cell>
          <cell r="K1433" t="str">
            <v>二見浄化センター</v>
          </cell>
          <cell r="M1433" t="str">
            <v>1</v>
          </cell>
          <cell r="N1433" t="str">
            <v>1</v>
          </cell>
          <cell r="Q1433">
            <v>29677</v>
          </cell>
          <cell r="R1433" t="str">
            <v>昭和</v>
          </cell>
          <cell r="S1433">
            <v>56</v>
          </cell>
          <cell r="T1433">
            <v>4</v>
          </cell>
          <cell r="AB1433">
            <v>83115</v>
          </cell>
          <cell r="AC1433" t="str">
            <v>播磨海域(11)</v>
          </cell>
          <cell r="AD1433" t="str">
            <v>Ｂ</v>
          </cell>
          <cell r="AE1433" t="str">
            <v>ロ</v>
          </cell>
          <cell r="AF1433">
            <v>15</v>
          </cell>
          <cell r="AI1433" t="str">
            <v>播磨灘</v>
          </cell>
          <cell r="AQ1433" t="str">
            <v/>
          </cell>
          <cell r="AR1433" t="str">
            <v>標準活性汚泥法</v>
          </cell>
          <cell r="AS1433" t="str">
            <v>2820301002</v>
          </cell>
          <cell r="AT1433" t="str">
            <v/>
          </cell>
          <cell r="AU1433" t="str">
            <v>10</v>
          </cell>
          <cell r="AV1433" t="str">
            <v>10</v>
          </cell>
          <cell r="AW1433">
            <v>0</v>
          </cell>
          <cell r="AX1433">
            <v>0</v>
          </cell>
          <cell r="AY1433">
            <v>0</v>
          </cell>
          <cell r="AZ1433">
            <v>0</v>
          </cell>
          <cell r="BA1433">
            <v>0</v>
          </cell>
          <cell r="BD1433" t="str">
            <v/>
          </cell>
          <cell r="BE1433">
            <v>1</v>
          </cell>
          <cell r="BG1433" t="str">
            <v>1100</v>
          </cell>
        </row>
        <row r="1434">
          <cell r="B1434" t="str">
            <v>G282030106100300</v>
          </cell>
          <cell r="C1434" t="str">
            <v>28.兵庫県</v>
          </cell>
          <cell r="D1434" t="str">
            <v>203</v>
          </cell>
          <cell r="E1434" t="str">
            <v>明石市</v>
          </cell>
          <cell r="F1434" t="str">
            <v>01</v>
          </cell>
          <cell r="G1434" t="str">
            <v>公共 単独</v>
          </cell>
          <cell r="H1434" t="str">
            <v>公共下水道</v>
          </cell>
          <cell r="I1434" t="str">
            <v>単独</v>
          </cell>
          <cell r="J1434" t="str">
            <v>003</v>
          </cell>
          <cell r="K1434" t="str">
            <v>朝霧浄化センター</v>
          </cell>
          <cell r="M1434" t="str">
            <v>1</v>
          </cell>
          <cell r="N1434" t="str">
            <v>1</v>
          </cell>
          <cell r="Q1434">
            <v>31533</v>
          </cell>
          <cell r="R1434" t="str">
            <v>昭和</v>
          </cell>
          <cell r="S1434">
            <v>61</v>
          </cell>
          <cell r="T1434">
            <v>5</v>
          </cell>
          <cell r="AB1434">
            <v>10850</v>
          </cell>
          <cell r="AC1434" t="str">
            <v>設定なし</v>
          </cell>
          <cell r="AF1434">
            <v>15</v>
          </cell>
          <cell r="AI1434" t="str">
            <v>狩口川</v>
          </cell>
          <cell r="AQ1434" t="str">
            <v/>
          </cell>
          <cell r="AR1434" t="str">
            <v>標準活性汚泥法</v>
          </cell>
          <cell r="AS1434" t="str">
            <v>2820301003</v>
          </cell>
          <cell r="AT1434" t="str">
            <v/>
          </cell>
          <cell r="AU1434" t="str">
            <v>10</v>
          </cell>
          <cell r="AV1434" t="str">
            <v>10</v>
          </cell>
          <cell r="AW1434">
            <v>0</v>
          </cell>
          <cell r="AX1434">
            <v>0</v>
          </cell>
          <cell r="AY1434">
            <v>0</v>
          </cell>
          <cell r="AZ1434">
            <v>0</v>
          </cell>
          <cell r="BA1434">
            <v>0</v>
          </cell>
          <cell r="BD1434" t="str">
            <v/>
          </cell>
          <cell r="BE1434">
            <v>1</v>
          </cell>
          <cell r="BG1434" t="str">
            <v>1100</v>
          </cell>
        </row>
        <row r="1435">
          <cell r="B1435" t="str">
            <v>G282030106100400</v>
          </cell>
          <cell r="C1435" t="str">
            <v>28.兵庫県</v>
          </cell>
          <cell r="D1435" t="str">
            <v>203</v>
          </cell>
          <cell r="E1435" t="str">
            <v>明石市</v>
          </cell>
          <cell r="F1435" t="str">
            <v>01</v>
          </cell>
          <cell r="G1435" t="str">
            <v>公共 単独</v>
          </cell>
          <cell r="H1435" t="str">
            <v>公共下水道</v>
          </cell>
          <cell r="I1435" t="str">
            <v>単独</v>
          </cell>
          <cell r="J1435" t="str">
            <v>004</v>
          </cell>
          <cell r="K1435" t="str">
            <v>大久保浄化センター</v>
          </cell>
          <cell r="M1435" t="str">
            <v>1</v>
          </cell>
          <cell r="N1435" t="str">
            <v>1</v>
          </cell>
          <cell r="P1435" t="str">
            <v>1</v>
          </cell>
          <cell r="Q1435">
            <v>35156</v>
          </cell>
          <cell r="R1435" t="str">
            <v>平成</v>
          </cell>
          <cell r="S1435">
            <v>8</v>
          </cell>
          <cell r="T1435">
            <v>4</v>
          </cell>
          <cell r="AB1435">
            <v>34880</v>
          </cell>
          <cell r="AC1435" t="str">
            <v>谷八木川</v>
          </cell>
          <cell r="AD1435" t="str">
            <v>Ｅ</v>
          </cell>
          <cell r="AE1435" t="str">
            <v>ハ</v>
          </cell>
          <cell r="AF1435">
            <v>8</v>
          </cell>
          <cell r="AG1435">
            <v>10</v>
          </cell>
          <cell r="AH1435">
            <v>0.5</v>
          </cell>
          <cell r="AJ1435" t="str">
            <v>谷八木川</v>
          </cell>
          <cell r="AQ1435" t="str">
            <v/>
          </cell>
          <cell r="AR1435" t="str">
            <v>循環式硝化脱窒法</v>
          </cell>
          <cell r="AS1435" t="str">
            <v>2820301004</v>
          </cell>
          <cell r="AT1435" t="str">
            <v/>
          </cell>
          <cell r="AU1435" t="str">
            <v>10</v>
          </cell>
          <cell r="AV1435" t="str">
            <v>10</v>
          </cell>
          <cell r="AW1435">
            <v>1</v>
          </cell>
          <cell r="AX1435">
            <v>0</v>
          </cell>
          <cell r="AY1435">
            <v>0</v>
          </cell>
          <cell r="AZ1435">
            <v>0</v>
          </cell>
          <cell r="BA1435">
            <v>0</v>
          </cell>
          <cell r="BD1435" t="str">
            <v/>
          </cell>
          <cell r="BE1435">
            <v>1</v>
          </cell>
          <cell r="BG1435" t="str">
            <v>1101</v>
          </cell>
        </row>
        <row r="1436">
          <cell r="B1436" t="str">
            <v>G282040106100100</v>
          </cell>
          <cell r="C1436" t="str">
            <v>28.兵庫県</v>
          </cell>
          <cell r="D1436" t="str">
            <v>204</v>
          </cell>
          <cell r="E1436" t="str">
            <v>西宮市</v>
          </cell>
          <cell r="F1436" t="str">
            <v>01</v>
          </cell>
          <cell r="G1436" t="str">
            <v>公共 単独</v>
          </cell>
          <cell r="H1436" t="str">
            <v>公共下水道</v>
          </cell>
          <cell r="I1436" t="str">
            <v>単独</v>
          </cell>
          <cell r="J1436" t="str">
            <v>001</v>
          </cell>
          <cell r="K1436" t="str">
            <v>西宮処理場枝川浄化センター</v>
          </cell>
          <cell r="M1436" t="str">
            <v>1</v>
          </cell>
          <cell r="P1436" t="str">
            <v>1</v>
          </cell>
          <cell r="Q1436">
            <v>25600</v>
          </cell>
          <cell r="R1436" t="str">
            <v>昭和</v>
          </cell>
          <cell r="S1436">
            <v>45</v>
          </cell>
          <cell r="T1436">
            <v>2</v>
          </cell>
          <cell r="AB1436">
            <v>58063</v>
          </cell>
          <cell r="AC1436" t="str">
            <v>大阪湾１</v>
          </cell>
          <cell r="AD1436" t="str">
            <v>Ｃ</v>
          </cell>
          <cell r="AE1436" t="str">
            <v>イ</v>
          </cell>
          <cell r="AF1436">
            <v>15</v>
          </cell>
          <cell r="AI1436" t="str">
            <v>大阪湾</v>
          </cell>
          <cell r="AQ1436" t="str">
            <v/>
          </cell>
          <cell r="AR1436" t="str">
            <v>標準活性汚泥法</v>
          </cell>
          <cell r="AS1436" t="str">
            <v>2820401001</v>
          </cell>
          <cell r="AT1436" t="str">
            <v/>
          </cell>
          <cell r="AU1436" t="str">
            <v>00</v>
          </cell>
          <cell r="AV1436" t="str">
            <v>00</v>
          </cell>
          <cell r="AW1436">
            <v>1</v>
          </cell>
          <cell r="AX1436">
            <v>0</v>
          </cell>
          <cell r="AY1436">
            <v>0</v>
          </cell>
          <cell r="AZ1436">
            <v>0</v>
          </cell>
          <cell r="BA1436">
            <v>0</v>
          </cell>
          <cell r="BD1436" t="str">
            <v/>
          </cell>
          <cell r="BE1436">
            <v>1</v>
          </cell>
          <cell r="BG1436" t="str">
            <v>1001</v>
          </cell>
        </row>
        <row r="1437">
          <cell r="B1437" t="str">
            <v>G282040106100200</v>
          </cell>
          <cell r="C1437" t="str">
            <v>28.兵庫県</v>
          </cell>
          <cell r="D1437" t="str">
            <v>204</v>
          </cell>
          <cell r="E1437" t="str">
            <v>西宮市</v>
          </cell>
          <cell r="F1437" t="str">
            <v>01</v>
          </cell>
          <cell r="G1437" t="str">
            <v>公共 単独</v>
          </cell>
          <cell r="H1437" t="str">
            <v>公共下水道</v>
          </cell>
          <cell r="I1437" t="str">
            <v>単独</v>
          </cell>
          <cell r="J1437" t="str">
            <v>002</v>
          </cell>
          <cell r="K1437" t="str">
            <v>西宮処理場鳴尾浜浄化センター</v>
          </cell>
          <cell r="M1437" t="str">
            <v>1</v>
          </cell>
          <cell r="P1437" t="str">
            <v>1</v>
          </cell>
          <cell r="Q1437">
            <v>31686</v>
          </cell>
          <cell r="R1437" t="str">
            <v>昭和</v>
          </cell>
          <cell r="S1437">
            <v>61</v>
          </cell>
          <cell r="T1437">
            <v>10</v>
          </cell>
          <cell r="AB1437">
            <v>23911</v>
          </cell>
          <cell r="AC1437" t="str">
            <v>大阪湾１</v>
          </cell>
          <cell r="AD1437" t="str">
            <v>Ｃ</v>
          </cell>
          <cell r="AE1437" t="str">
            <v>イ</v>
          </cell>
          <cell r="AF1437">
            <v>15</v>
          </cell>
          <cell r="AI1437" t="str">
            <v>大阪湾</v>
          </cell>
          <cell r="AQ1437" t="str">
            <v/>
          </cell>
          <cell r="AR1437" t="str">
            <v>標準活性汚泥法</v>
          </cell>
          <cell r="AS1437" t="str">
            <v>2820401002</v>
          </cell>
          <cell r="AT1437" t="str">
            <v/>
          </cell>
          <cell r="AU1437" t="str">
            <v>00</v>
          </cell>
          <cell r="AV1437" t="str">
            <v>00</v>
          </cell>
          <cell r="AW1437">
            <v>1</v>
          </cell>
          <cell r="AX1437">
            <v>0</v>
          </cell>
          <cell r="AY1437">
            <v>0</v>
          </cell>
          <cell r="AZ1437">
            <v>0</v>
          </cell>
          <cell r="BA1437">
            <v>0</v>
          </cell>
          <cell r="BD1437" t="str">
            <v/>
          </cell>
          <cell r="BE1437">
            <v>1</v>
          </cell>
          <cell r="BG1437" t="str">
            <v>1001</v>
          </cell>
        </row>
        <row r="1438">
          <cell r="B1438" t="str">
            <v>G282040106100300</v>
          </cell>
          <cell r="C1438" t="str">
            <v>28.兵庫県</v>
          </cell>
          <cell r="D1438" t="str">
            <v>204</v>
          </cell>
          <cell r="E1438" t="str">
            <v>西宮市</v>
          </cell>
          <cell r="F1438" t="str">
            <v>01</v>
          </cell>
          <cell r="G1438" t="str">
            <v>公共 単独</v>
          </cell>
          <cell r="H1438" t="str">
            <v>公共下水道</v>
          </cell>
          <cell r="I1438" t="str">
            <v>単独</v>
          </cell>
          <cell r="J1438" t="str">
            <v>003</v>
          </cell>
          <cell r="K1438" t="str">
            <v>西宮処理場甲子園浜浄化センター</v>
          </cell>
          <cell r="M1438" t="str">
            <v>1</v>
          </cell>
          <cell r="P1438" t="str">
            <v>1</v>
          </cell>
          <cell r="Q1438">
            <v>33298</v>
          </cell>
          <cell r="R1438" t="str">
            <v>平成</v>
          </cell>
          <cell r="S1438">
            <v>3</v>
          </cell>
          <cell r="T1438">
            <v>3</v>
          </cell>
          <cell r="AB1438">
            <v>215500</v>
          </cell>
          <cell r="AC1438" t="str">
            <v>大阪湾１</v>
          </cell>
          <cell r="AD1438" t="str">
            <v>Ｃ</v>
          </cell>
          <cell r="AE1438" t="str">
            <v>イ</v>
          </cell>
          <cell r="AF1438">
            <v>15</v>
          </cell>
          <cell r="AI1438" t="str">
            <v>大阪湾</v>
          </cell>
          <cell r="AQ1438" t="str">
            <v/>
          </cell>
          <cell r="AR1438" t="str">
            <v>標準活性汚泥法</v>
          </cell>
          <cell r="AS1438" t="str">
            <v>2820401003</v>
          </cell>
          <cell r="AT1438" t="str">
            <v/>
          </cell>
          <cell r="AU1438" t="str">
            <v>00</v>
          </cell>
          <cell r="AV1438" t="str">
            <v>00</v>
          </cell>
          <cell r="AW1438">
            <v>1</v>
          </cell>
          <cell r="AX1438">
            <v>0</v>
          </cell>
          <cell r="AY1438">
            <v>0</v>
          </cell>
          <cell r="AZ1438">
            <v>0</v>
          </cell>
          <cell r="BA1438">
            <v>0</v>
          </cell>
          <cell r="BD1438" t="str">
            <v/>
          </cell>
          <cell r="BE1438">
            <v>1</v>
          </cell>
          <cell r="BG1438" t="str">
            <v>1001</v>
          </cell>
        </row>
        <row r="1439">
          <cell r="B1439" t="str">
            <v>G282050106100100</v>
          </cell>
          <cell r="C1439" t="str">
            <v>28.兵庫県</v>
          </cell>
          <cell r="D1439" t="str">
            <v>205</v>
          </cell>
          <cell r="E1439" t="str">
            <v>洲本市</v>
          </cell>
          <cell r="F1439" t="str">
            <v>01</v>
          </cell>
          <cell r="G1439" t="str">
            <v>公共 単独</v>
          </cell>
          <cell r="H1439" t="str">
            <v>公共下水道</v>
          </cell>
          <cell r="I1439" t="str">
            <v>単独</v>
          </cell>
          <cell r="J1439" t="str">
            <v>001</v>
          </cell>
          <cell r="K1439" t="str">
            <v>洲本環境センター</v>
          </cell>
          <cell r="M1439" t="str">
            <v>1</v>
          </cell>
          <cell r="N1439" t="str">
            <v>1</v>
          </cell>
          <cell r="Q1439">
            <v>34213</v>
          </cell>
          <cell r="R1439" t="str">
            <v>平成</v>
          </cell>
          <cell r="S1439">
            <v>5</v>
          </cell>
          <cell r="T1439">
            <v>9</v>
          </cell>
          <cell r="AB1439">
            <v>25590</v>
          </cell>
          <cell r="AF1439">
            <v>15</v>
          </cell>
          <cell r="AG1439">
            <v>20</v>
          </cell>
          <cell r="AH1439">
            <v>2</v>
          </cell>
          <cell r="AJ1439" t="str">
            <v>洲本川</v>
          </cell>
          <cell r="AQ1439" t="str">
            <v/>
          </cell>
          <cell r="AR1439" t="str">
            <v>標準活性汚泥法</v>
          </cell>
          <cell r="AS1439" t="str">
            <v>2820501001</v>
          </cell>
          <cell r="AT1439" t="str">
            <v/>
          </cell>
          <cell r="AU1439" t="str">
            <v>10</v>
          </cell>
          <cell r="AV1439" t="str">
            <v>10</v>
          </cell>
          <cell r="AW1439">
            <v>0</v>
          </cell>
          <cell r="AX1439">
            <v>0</v>
          </cell>
          <cell r="AY1439">
            <v>0</v>
          </cell>
          <cell r="AZ1439">
            <v>0</v>
          </cell>
          <cell r="BA1439">
            <v>0</v>
          </cell>
          <cell r="BD1439" t="str">
            <v/>
          </cell>
          <cell r="BE1439">
            <v>1</v>
          </cell>
          <cell r="BG1439" t="str">
            <v>1100</v>
          </cell>
        </row>
        <row r="1440">
          <cell r="B1440" t="str">
            <v>G282050206100200</v>
          </cell>
          <cell r="C1440" t="str">
            <v>28.兵庫県</v>
          </cell>
          <cell r="D1440" t="str">
            <v>205</v>
          </cell>
          <cell r="E1440" t="str">
            <v>洲本市</v>
          </cell>
          <cell r="F1440" t="str">
            <v>02</v>
          </cell>
          <cell r="G1440" t="str">
            <v>特環 単独</v>
          </cell>
          <cell r="H1440" t="str">
            <v>特定環境保全公共下水道</v>
          </cell>
          <cell r="I1440" t="str">
            <v>単独</v>
          </cell>
          <cell r="J1440" t="str">
            <v>002</v>
          </cell>
          <cell r="K1440" t="str">
            <v>五色浄化センター</v>
          </cell>
          <cell r="M1440" t="str">
            <v>1</v>
          </cell>
          <cell r="N1440" t="str">
            <v>1</v>
          </cell>
          <cell r="Q1440">
            <v>36495</v>
          </cell>
          <cell r="R1440" t="str">
            <v>平成</v>
          </cell>
          <cell r="S1440">
            <v>11</v>
          </cell>
          <cell r="T1440">
            <v>12</v>
          </cell>
          <cell r="AB1440">
            <v>2500</v>
          </cell>
          <cell r="AC1440" t="str">
            <v>播磨灘</v>
          </cell>
          <cell r="AD1440" t="str">
            <v>Ａ</v>
          </cell>
          <cell r="AE1440" t="str">
            <v>イ</v>
          </cell>
          <cell r="AF1440">
            <v>15</v>
          </cell>
          <cell r="AG1440">
            <v>12</v>
          </cell>
          <cell r="AH1440">
            <v>1</v>
          </cell>
          <cell r="AI1440" t="str">
            <v>播磨灘</v>
          </cell>
          <cell r="AQ1440" t="str">
            <v/>
          </cell>
          <cell r="AR1440" t="str">
            <v>オキシディションディッチ法</v>
          </cell>
          <cell r="AS1440" t="str">
            <v>2820502002</v>
          </cell>
          <cell r="AT1440" t="str">
            <v/>
          </cell>
          <cell r="AU1440" t="str">
            <v>10</v>
          </cell>
          <cell r="AV1440" t="str">
            <v>10</v>
          </cell>
          <cell r="AW1440">
            <v>0</v>
          </cell>
          <cell r="AX1440">
            <v>0</v>
          </cell>
          <cell r="AY1440">
            <v>0</v>
          </cell>
          <cell r="AZ1440">
            <v>0</v>
          </cell>
          <cell r="BA1440">
            <v>0</v>
          </cell>
          <cell r="BD1440" t="str">
            <v/>
          </cell>
          <cell r="BE1440">
            <v>1</v>
          </cell>
          <cell r="BG1440" t="str">
            <v>1100</v>
          </cell>
        </row>
        <row r="1441">
          <cell r="B1441" t="str">
            <v>G282060106100100</v>
          </cell>
          <cell r="C1441" t="str">
            <v>28.兵庫県</v>
          </cell>
          <cell r="D1441" t="str">
            <v>206</v>
          </cell>
          <cell r="E1441" t="str">
            <v>芦屋市</v>
          </cell>
          <cell r="F1441" t="str">
            <v>01</v>
          </cell>
          <cell r="G1441" t="str">
            <v>公共 単独</v>
          </cell>
          <cell r="H1441" t="str">
            <v>公共下水道</v>
          </cell>
          <cell r="I1441" t="str">
            <v>単独</v>
          </cell>
          <cell r="J1441" t="str">
            <v>001</v>
          </cell>
          <cell r="K1441" t="str">
            <v>芦屋下水処理場</v>
          </cell>
          <cell r="M1441" t="str">
            <v>1</v>
          </cell>
          <cell r="P1441" t="str">
            <v>1</v>
          </cell>
          <cell r="Q1441">
            <v>27030</v>
          </cell>
          <cell r="R1441" t="str">
            <v>昭和</v>
          </cell>
          <cell r="S1441">
            <v>49</v>
          </cell>
          <cell r="T1441">
            <v>1</v>
          </cell>
          <cell r="AB1441">
            <v>33400</v>
          </cell>
          <cell r="AC1441" t="str">
            <v>大阪湾</v>
          </cell>
          <cell r="AD1441" t="str">
            <v>Ｃ</v>
          </cell>
          <cell r="AE1441" t="str">
            <v>イ</v>
          </cell>
          <cell r="AF1441">
            <v>15</v>
          </cell>
          <cell r="AI1441" t="str">
            <v>大阪湾</v>
          </cell>
          <cell r="AQ1441" t="str">
            <v/>
          </cell>
          <cell r="AR1441" t="str">
            <v>標準活性汚泥法</v>
          </cell>
          <cell r="AS1441" t="str">
            <v>2820601001</v>
          </cell>
          <cell r="AT1441" t="str">
            <v/>
          </cell>
          <cell r="AU1441" t="str">
            <v>00</v>
          </cell>
          <cell r="AV1441" t="str">
            <v>00</v>
          </cell>
          <cell r="AW1441">
            <v>1</v>
          </cell>
          <cell r="AX1441">
            <v>0</v>
          </cell>
          <cell r="AY1441">
            <v>0</v>
          </cell>
          <cell r="AZ1441">
            <v>0</v>
          </cell>
          <cell r="BA1441">
            <v>0</v>
          </cell>
          <cell r="BD1441" t="str">
            <v/>
          </cell>
          <cell r="BE1441">
            <v>1</v>
          </cell>
          <cell r="BG1441" t="str">
            <v>1001</v>
          </cell>
        </row>
        <row r="1442">
          <cell r="B1442" t="str">
            <v>G282060106100200</v>
          </cell>
          <cell r="C1442" t="str">
            <v>28.兵庫県</v>
          </cell>
          <cell r="D1442" t="str">
            <v>206</v>
          </cell>
          <cell r="E1442" t="str">
            <v>芦屋市</v>
          </cell>
          <cell r="F1442" t="str">
            <v>01</v>
          </cell>
          <cell r="G1442" t="str">
            <v>公共 単独</v>
          </cell>
          <cell r="H1442" t="str">
            <v>公共下水道</v>
          </cell>
          <cell r="I1442" t="str">
            <v>単独</v>
          </cell>
          <cell r="J1442" t="str">
            <v>002</v>
          </cell>
          <cell r="K1442" t="str">
            <v>奥山下水処理場</v>
          </cell>
          <cell r="U1442" t="str">
            <v>廃止</v>
          </cell>
          <cell r="V1442">
            <v>41000</v>
          </cell>
          <cell r="W1442" t="str">
            <v>平成</v>
          </cell>
          <cell r="X1442">
            <v>24</v>
          </cell>
          <cell r="Y1442">
            <v>4</v>
          </cell>
          <cell r="AQ1442" t="str">
            <v>廃止</v>
          </cell>
          <cell r="AR1442" t="str">
            <v/>
          </cell>
          <cell r="AS1442" t="str">
            <v>2820601002</v>
          </cell>
          <cell r="AT1442">
            <v>1</v>
          </cell>
          <cell r="AU1442" t="str">
            <v>00</v>
          </cell>
          <cell r="AV1442" t="str">
            <v>00</v>
          </cell>
          <cell r="AW1442">
            <v>0</v>
          </cell>
          <cell r="AX1442">
            <v>0</v>
          </cell>
          <cell r="AY1442">
            <v>0</v>
          </cell>
          <cell r="AZ1442">
            <v>0</v>
          </cell>
          <cell r="BA1442">
            <v>0</v>
          </cell>
          <cell r="BD1442" t="str">
            <v/>
          </cell>
          <cell r="BE1442">
            <v>0</v>
          </cell>
          <cell r="BG1442">
            <v>9999</v>
          </cell>
        </row>
        <row r="1443">
          <cell r="B1443" t="str">
            <v>G282060106100300</v>
          </cell>
          <cell r="C1443" t="str">
            <v>28.兵庫県</v>
          </cell>
          <cell r="D1443" t="str">
            <v>206</v>
          </cell>
          <cell r="E1443" t="str">
            <v>芦屋市</v>
          </cell>
          <cell r="F1443" t="str">
            <v>01</v>
          </cell>
          <cell r="G1443" t="str">
            <v>公共 単独</v>
          </cell>
          <cell r="H1443" t="str">
            <v>公共下水道</v>
          </cell>
          <cell r="I1443" t="str">
            <v>単独</v>
          </cell>
          <cell r="J1443" t="str">
            <v>003</v>
          </cell>
          <cell r="K1443" t="str">
            <v>南芦屋浜下水処理場</v>
          </cell>
          <cell r="M1443" t="str">
            <v>1</v>
          </cell>
          <cell r="P1443" t="str">
            <v>1</v>
          </cell>
          <cell r="Q1443">
            <v>36982</v>
          </cell>
          <cell r="R1443" t="str">
            <v>平成</v>
          </cell>
          <cell r="S1443">
            <v>13</v>
          </cell>
          <cell r="T1443">
            <v>4</v>
          </cell>
          <cell r="AB1443">
            <v>12000</v>
          </cell>
          <cell r="AC1443" t="str">
            <v>大阪湾</v>
          </cell>
          <cell r="AD1443" t="str">
            <v>Ｃ</v>
          </cell>
          <cell r="AE1443" t="str">
            <v>イ</v>
          </cell>
          <cell r="AF1443">
            <v>15</v>
          </cell>
          <cell r="AG1443">
            <v>13</v>
          </cell>
          <cell r="AH1443">
            <v>1</v>
          </cell>
          <cell r="AI1443" t="str">
            <v>大阪湾</v>
          </cell>
          <cell r="AQ1443" t="str">
            <v/>
          </cell>
          <cell r="AR1443" t="str">
            <v>循環式硝化脱窒法</v>
          </cell>
          <cell r="AS1443" t="str">
            <v>2820601003</v>
          </cell>
          <cell r="AT1443" t="str">
            <v/>
          </cell>
          <cell r="AU1443" t="str">
            <v>00</v>
          </cell>
          <cell r="AV1443" t="str">
            <v>00</v>
          </cell>
          <cell r="AW1443">
            <v>1</v>
          </cell>
          <cell r="AX1443">
            <v>0</v>
          </cell>
          <cell r="AY1443">
            <v>0</v>
          </cell>
          <cell r="AZ1443">
            <v>0</v>
          </cell>
          <cell r="BA1443">
            <v>0</v>
          </cell>
          <cell r="BD1443" t="str">
            <v/>
          </cell>
          <cell r="BE1443">
            <v>1</v>
          </cell>
          <cell r="BG1443" t="str">
            <v>1001</v>
          </cell>
        </row>
        <row r="1444">
          <cell r="B1444" t="str">
            <v>G282080106100100</v>
          </cell>
          <cell r="C1444" t="str">
            <v>28.兵庫県</v>
          </cell>
          <cell r="D1444" t="str">
            <v>208</v>
          </cell>
          <cell r="E1444" t="str">
            <v>相生市</v>
          </cell>
          <cell r="F1444" t="str">
            <v>01</v>
          </cell>
          <cell r="G1444" t="str">
            <v>公共 単独</v>
          </cell>
          <cell r="H1444" t="str">
            <v>公共下水道</v>
          </cell>
          <cell r="I1444" t="str">
            <v>単独</v>
          </cell>
          <cell r="J1444" t="str">
            <v>001</v>
          </cell>
          <cell r="K1444" t="str">
            <v>相生終末処理場</v>
          </cell>
          <cell r="M1444" t="str">
            <v>1</v>
          </cell>
          <cell r="N1444" t="str">
            <v>1</v>
          </cell>
          <cell r="Q1444">
            <v>32568</v>
          </cell>
          <cell r="R1444" t="str">
            <v>平成</v>
          </cell>
          <cell r="S1444">
            <v>1</v>
          </cell>
          <cell r="T1444">
            <v>3</v>
          </cell>
          <cell r="AB1444">
            <v>50020</v>
          </cell>
          <cell r="AC1444" t="str">
            <v>播磨灘北西部</v>
          </cell>
          <cell r="AD1444" t="str">
            <v>Ａ</v>
          </cell>
          <cell r="AE1444" t="str">
            <v>ロ</v>
          </cell>
          <cell r="AF1444">
            <v>15</v>
          </cell>
          <cell r="AG1444">
            <v>20</v>
          </cell>
          <cell r="AH1444">
            <v>3</v>
          </cell>
          <cell r="AI1444" t="str">
            <v>相生湾(播磨灘北西部)</v>
          </cell>
          <cell r="AQ1444" t="str">
            <v/>
          </cell>
          <cell r="AR1444" t="str">
            <v>標準活性汚泥法</v>
          </cell>
          <cell r="AS1444" t="str">
            <v>2820801001</v>
          </cell>
          <cell r="AT1444" t="str">
            <v/>
          </cell>
          <cell r="AU1444" t="str">
            <v>10</v>
          </cell>
          <cell r="AV1444" t="str">
            <v>10</v>
          </cell>
          <cell r="AW1444">
            <v>0</v>
          </cell>
          <cell r="AX1444">
            <v>0</v>
          </cell>
          <cell r="AY1444">
            <v>0</v>
          </cell>
          <cell r="AZ1444">
            <v>0</v>
          </cell>
          <cell r="BA1444">
            <v>0</v>
          </cell>
          <cell r="BD1444" t="str">
            <v/>
          </cell>
          <cell r="BE1444">
            <v>1</v>
          </cell>
          <cell r="BG1444" t="str">
            <v>1100</v>
          </cell>
        </row>
        <row r="1445">
          <cell r="B1445" t="str">
            <v>G282090106100100</v>
          </cell>
          <cell r="C1445" t="str">
            <v>28.兵庫県</v>
          </cell>
          <cell r="D1445" t="str">
            <v>209</v>
          </cell>
          <cell r="E1445" t="str">
            <v>豊岡市</v>
          </cell>
          <cell r="F1445" t="str">
            <v>01</v>
          </cell>
          <cell r="G1445" t="str">
            <v>公共 単独</v>
          </cell>
          <cell r="H1445" t="str">
            <v>公共下水道</v>
          </cell>
          <cell r="I1445" t="str">
            <v>単独</v>
          </cell>
          <cell r="J1445" t="str">
            <v>001</v>
          </cell>
          <cell r="K1445" t="str">
            <v>豊岡市浄化センター</v>
          </cell>
          <cell r="M1445" t="str">
            <v>1</v>
          </cell>
          <cell r="N1445" t="str">
            <v>1</v>
          </cell>
          <cell r="O1445" t="str">
            <v>1</v>
          </cell>
          <cell r="Q1445">
            <v>30042</v>
          </cell>
          <cell r="R1445" t="str">
            <v>昭和</v>
          </cell>
          <cell r="S1445">
            <v>57</v>
          </cell>
          <cell r="T1445">
            <v>4</v>
          </cell>
          <cell r="AB1445">
            <v>36000</v>
          </cell>
          <cell r="AC1445" t="str">
            <v>円山川</v>
          </cell>
          <cell r="AD1445" t="str">
            <v>Ｂ</v>
          </cell>
          <cell r="AE1445" t="str">
            <v>イ</v>
          </cell>
          <cell r="AF1445">
            <v>15</v>
          </cell>
          <cell r="AI1445" t="str">
            <v>前川</v>
          </cell>
          <cell r="AQ1445" t="str">
            <v/>
          </cell>
          <cell r="AR1445" t="str">
            <v>標準活性汚泥法</v>
          </cell>
          <cell r="AS1445" t="str">
            <v>2820901001</v>
          </cell>
          <cell r="AT1445" t="str">
            <v/>
          </cell>
          <cell r="AU1445" t="str">
            <v>11</v>
          </cell>
          <cell r="AV1445" t="str">
            <v>11</v>
          </cell>
          <cell r="AW1445">
            <v>0</v>
          </cell>
          <cell r="AX1445">
            <v>0</v>
          </cell>
          <cell r="AY1445">
            <v>0</v>
          </cell>
          <cell r="AZ1445">
            <v>0</v>
          </cell>
          <cell r="BA1445">
            <v>0</v>
          </cell>
          <cell r="BD1445" t="str">
            <v/>
          </cell>
          <cell r="BE1445">
            <v>1</v>
          </cell>
          <cell r="BG1445" t="str">
            <v>1110</v>
          </cell>
        </row>
        <row r="1446">
          <cell r="B1446" t="str">
            <v>G282090106100200</v>
          </cell>
          <cell r="C1446" t="str">
            <v>28.兵庫県</v>
          </cell>
          <cell r="D1446" t="str">
            <v>209</v>
          </cell>
          <cell r="E1446" t="str">
            <v>豊岡市</v>
          </cell>
          <cell r="F1446" t="str">
            <v>01</v>
          </cell>
          <cell r="G1446" t="str">
            <v>公共 単独</v>
          </cell>
          <cell r="H1446" t="str">
            <v>公共下水道</v>
          </cell>
          <cell r="I1446" t="str">
            <v>単独</v>
          </cell>
          <cell r="J1446" t="str">
            <v>002</v>
          </cell>
          <cell r="K1446" t="str">
            <v>日高中央浄化センター</v>
          </cell>
          <cell r="M1446" t="str">
            <v>1</v>
          </cell>
          <cell r="N1446" t="str">
            <v>1</v>
          </cell>
          <cell r="Q1446">
            <v>36617</v>
          </cell>
          <cell r="R1446" t="str">
            <v>平成</v>
          </cell>
          <cell r="S1446">
            <v>12</v>
          </cell>
          <cell r="T1446">
            <v>4</v>
          </cell>
          <cell r="AB1446">
            <v>18400</v>
          </cell>
          <cell r="AC1446" t="str">
            <v>円山川</v>
          </cell>
          <cell r="AD1446" t="str">
            <v>Ａ</v>
          </cell>
          <cell r="AE1446" t="str">
            <v>ロ</v>
          </cell>
          <cell r="AF1446">
            <v>15</v>
          </cell>
          <cell r="AK1446" t="str">
            <v>円山川</v>
          </cell>
          <cell r="AQ1446" t="str">
            <v/>
          </cell>
          <cell r="AR1446" t="str">
            <v>オキシディションディッチ法</v>
          </cell>
          <cell r="AS1446" t="str">
            <v>2820901002</v>
          </cell>
          <cell r="AT1446" t="str">
            <v/>
          </cell>
          <cell r="AU1446" t="str">
            <v>10</v>
          </cell>
          <cell r="AV1446" t="str">
            <v>10</v>
          </cell>
          <cell r="AW1446">
            <v>0</v>
          </cell>
          <cell r="AX1446">
            <v>0</v>
          </cell>
          <cell r="AY1446">
            <v>0</v>
          </cell>
          <cell r="AZ1446">
            <v>0</v>
          </cell>
          <cell r="BA1446">
            <v>0</v>
          </cell>
          <cell r="BD1446" t="str">
            <v/>
          </cell>
          <cell r="BE1446">
            <v>1</v>
          </cell>
          <cell r="BG1446" t="str">
            <v>1100</v>
          </cell>
        </row>
        <row r="1447">
          <cell r="B1447" t="str">
            <v>G282090106100300</v>
          </cell>
          <cell r="C1447" t="str">
            <v>28.兵庫県</v>
          </cell>
          <cell r="D1447" t="str">
            <v>209</v>
          </cell>
          <cell r="E1447" t="str">
            <v>豊岡市</v>
          </cell>
          <cell r="F1447" t="str">
            <v>01</v>
          </cell>
          <cell r="G1447" t="str">
            <v>公共 単独</v>
          </cell>
          <cell r="H1447" t="str">
            <v>公共下水道</v>
          </cell>
          <cell r="I1447" t="str">
            <v>単独</v>
          </cell>
          <cell r="J1447" t="str">
            <v>003</v>
          </cell>
          <cell r="K1447" t="str">
            <v>城崎浄化センター</v>
          </cell>
          <cell r="M1447" t="str">
            <v>1</v>
          </cell>
          <cell r="N1447" t="str">
            <v>1</v>
          </cell>
          <cell r="Q1447">
            <v>37956</v>
          </cell>
          <cell r="R1447" t="str">
            <v>平成</v>
          </cell>
          <cell r="S1447">
            <v>15</v>
          </cell>
          <cell r="T1447">
            <v>12</v>
          </cell>
          <cell r="AB1447">
            <v>10300</v>
          </cell>
          <cell r="AC1447" t="str">
            <v>円山川</v>
          </cell>
          <cell r="AD1447" t="str">
            <v>Ｂ</v>
          </cell>
          <cell r="AE1447" t="str">
            <v>イ</v>
          </cell>
          <cell r="AF1447">
            <v>15</v>
          </cell>
          <cell r="AK1447" t="str">
            <v>円山川</v>
          </cell>
          <cell r="AQ1447" t="str">
            <v/>
          </cell>
          <cell r="AR1447" t="str">
            <v>標準活性汚泥法</v>
          </cell>
          <cell r="AS1447" t="str">
            <v>2820901003</v>
          </cell>
          <cell r="AT1447" t="str">
            <v/>
          </cell>
          <cell r="AU1447" t="str">
            <v>10</v>
          </cell>
          <cell r="AV1447" t="str">
            <v>10</v>
          </cell>
          <cell r="AW1447">
            <v>0</v>
          </cell>
          <cell r="AX1447">
            <v>0</v>
          </cell>
          <cell r="AY1447">
            <v>0</v>
          </cell>
          <cell r="AZ1447">
            <v>0</v>
          </cell>
          <cell r="BA1447">
            <v>0</v>
          </cell>
          <cell r="BD1447" t="str">
            <v/>
          </cell>
          <cell r="BE1447">
            <v>1</v>
          </cell>
          <cell r="BG1447" t="str">
            <v>1100</v>
          </cell>
        </row>
        <row r="1448">
          <cell r="B1448" t="str">
            <v>G282090206100400</v>
          </cell>
          <cell r="C1448" t="str">
            <v>28.兵庫県</v>
          </cell>
          <cell r="D1448" t="str">
            <v>209</v>
          </cell>
          <cell r="E1448" t="str">
            <v>豊岡市</v>
          </cell>
          <cell r="F1448" t="str">
            <v>02</v>
          </cell>
          <cell r="G1448" t="str">
            <v>特環 単独</v>
          </cell>
          <cell r="H1448" t="str">
            <v>特定環境保全公共下水道</v>
          </cell>
          <cell r="I1448" t="str">
            <v>単独</v>
          </cell>
          <cell r="J1448" t="str">
            <v>004</v>
          </cell>
          <cell r="K1448" t="str">
            <v>栗栖野浄化センター</v>
          </cell>
          <cell r="M1448" t="str">
            <v>1</v>
          </cell>
          <cell r="N1448" t="str">
            <v>1</v>
          </cell>
          <cell r="Q1448">
            <v>33572</v>
          </cell>
          <cell r="R1448" t="str">
            <v>平成</v>
          </cell>
          <cell r="S1448">
            <v>3</v>
          </cell>
          <cell r="T1448">
            <v>11</v>
          </cell>
          <cell r="U1448" t="str">
            <v>廃止</v>
          </cell>
          <cell r="V1448">
            <v>40999</v>
          </cell>
          <cell r="W1448" t="str">
            <v>平成</v>
          </cell>
          <cell r="X1448">
            <v>24</v>
          </cell>
          <cell r="Y1448">
            <v>3</v>
          </cell>
          <cell r="AP1448" t="str">
            <v>清滝浄化センターへ統合</v>
          </cell>
          <cell r="AQ1448" t="str">
            <v>廃止</v>
          </cell>
          <cell r="AR1448" t="str">
            <v/>
          </cell>
          <cell r="AS1448" t="str">
            <v>2820902004</v>
          </cell>
          <cell r="AT1448">
            <v>1</v>
          </cell>
          <cell r="AU1448" t="str">
            <v>10</v>
          </cell>
          <cell r="AV1448" t="str">
            <v>00</v>
          </cell>
          <cell r="AW1448">
            <v>0</v>
          </cell>
          <cell r="AX1448">
            <v>-1</v>
          </cell>
          <cell r="AY1448">
            <v>0</v>
          </cell>
          <cell r="AZ1448">
            <v>0</v>
          </cell>
          <cell r="BA1448">
            <v>1</v>
          </cell>
          <cell r="BB1448" t="str">
            <v>場廃止</v>
          </cell>
          <cell r="BD1448" t="str">
            <v>場廃止</v>
          </cell>
          <cell r="BE1448">
            <v>0</v>
          </cell>
          <cell r="BG1448">
            <v>9999</v>
          </cell>
        </row>
        <row r="1449">
          <cell r="B1449" t="str">
            <v>G282090206100500</v>
          </cell>
          <cell r="C1449" t="str">
            <v>28.兵庫県</v>
          </cell>
          <cell r="D1449" t="str">
            <v>209</v>
          </cell>
          <cell r="E1449" t="str">
            <v>豊岡市</v>
          </cell>
          <cell r="F1449" t="str">
            <v>02</v>
          </cell>
          <cell r="G1449" t="str">
            <v>特環 単独</v>
          </cell>
          <cell r="H1449" t="str">
            <v>特定環境保全公共下水道</v>
          </cell>
          <cell r="I1449" t="str">
            <v>単独</v>
          </cell>
          <cell r="J1449" t="str">
            <v>005</v>
          </cell>
          <cell r="K1449" t="str">
            <v>清滝浄化センター</v>
          </cell>
          <cell r="M1449" t="str">
            <v>1</v>
          </cell>
          <cell r="N1449" t="str">
            <v>1</v>
          </cell>
          <cell r="P1449" t="str">
            <v>1</v>
          </cell>
          <cell r="Q1449">
            <v>34912</v>
          </cell>
          <cell r="R1449" t="str">
            <v>平成</v>
          </cell>
          <cell r="S1449">
            <v>7</v>
          </cell>
          <cell r="T1449">
            <v>8</v>
          </cell>
          <cell r="AB1449">
            <v>13000</v>
          </cell>
          <cell r="AC1449" t="str">
            <v>円山川</v>
          </cell>
          <cell r="AD1449" t="str">
            <v>Ａ</v>
          </cell>
          <cell r="AE1449" t="str">
            <v>ロ</v>
          </cell>
          <cell r="AF1449">
            <v>15</v>
          </cell>
          <cell r="AK1449" t="str">
            <v>稲葉川</v>
          </cell>
          <cell r="AQ1449" t="str">
            <v/>
          </cell>
          <cell r="AR1449" t="str">
            <v>オキシディションディッチ法</v>
          </cell>
          <cell r="AS1449" t="str">
            <v>2820902005</v>
          </cell>
          <cell r="AT1449" t="str">
            <v/>
          </cell>
          <cell r="AU1449" t="str">
            <v>10</v>
          </cell>
          <cell r="AV1449" t="str">
            <v>10</v>
          </cell>
          <cell r="AW1449">
            <v>1</v>
          </cell>
          <cell r="AX1449">
            <v>0</v>
          </cell>
          <cell r="AY1449">
            <v>0</v>
          </cell>
          <cell r="AZ1449">
            <v>0</v>
          </cell>
          <cell r="BA1449">
            <v>0</v>
          </cell>
          <cell r="BD1449" t="str">
            <v/>
          </cell>
          <cell r="BE1449">
            <v>1</v>
          </cell>
          <cell r="BG1449" t="str">
            <v>1101</v>
          </cell>
        </row>
        <row r="1450">
          <cell r="B1450" t="str">
            <v>G282090206100600</v>
          </cell>
          <cell r="C1450" t="str">
            <v>28.兵庫県</v>
          </cell>
          <cell r="D1450" t="str">
            <v>209</v>
          </cell>
          <cell r="E1450" t="str">
            <v>豊岡市</v>
          </cell>
          <cell r="F1450" t="str">
            <v>02</v>
          </cell>
          <cell r="G1450" t="str">
            <v>特環 単独</v>
          </cell>
          <cell r="H1450" t="str">
            <v>特定環境保全公共下水道</v>
          </cell>
          <cell r="I1450" t="str">
            <v>単独</v>
          </cell>
          <cell r="J1450" t="str">
            <v>006</v>
          </cell>
          <cell r="K1450" t="str">
            <v>竹野浄化センター</v>
          </cell>
          <cell r="M1450" t="str">
            <v>1</v>
          </cell>
          <cell r="N1450" t="str">
            <v>1</v>
          </cell>
          <cell r="Q1450">
            <v>35517</v>
          </cell>
          <cell r="R1450" t="str">
            <v>平成</v>
          </cell>
          <cell r="S1450">
            <v>9</v>
          </cell>
          <cell r="T1450">
            <v>3</v>
          </cell>
          <cell r="AB1450">
            <v>12300</v>
          </cell>
          <cell r="AC1450" t="str">
            <v>竹野川</v>
          </cell>
          <cell r="AD1450" t="str">
            <v>Ａ</v>
          </cell>
          <cell r="AE1450" t="str">
            <v>イ</v>
          </cell>
          <cell r="AF1450">
            <v>15</v>
          </cell>
          <cell r="AJ1450" t="str">
            <v>竹野川</v>
          </cell>
          <cell r="AQ1450" t="str">
            <v/>
          </cell>
          <cell r="AR1450" t="str">
            <v>長時間エアレーション法</v>
          </cell>
          <cell r="AS1450" t="str">
            <v>2820902006</v>
          </cell>
          <cell r="AT1450" t="str">
            <v/>
          </cell>
          <cell r="AU1450" t="str">
            <v>10</v>
          </cell>
          <cell r="AV1450" t="str">
            <v>10</v>
          </cell>
          <cell r="AW1450">
            <v>0</v>
          </cell>
          <cell r="AX1450">
            <v>0</v>
          </cell>
          <cell r="AY1450">
            <v>0</v>
          </cell>
          <cell r="AZ1450">
            <v>0</v>
          </cell>
          <cell r="BA1450">
            <v>0</v>
          </cell>
          <cell r="BD1450" t="str">
            <v/>
          </cell>
          <cell r="BE1450">
            <v>1</v>
          </cell>
          <cell r="BG1450" t="str">
            <v>1100</v>
          </cell>
        </row>
        <row r="1451">
          <cell r="B1451" t="str">
            <v>G282090206100700</v>
          </cell>
          <cell r="C1451" t="str">
            <v>28.兵庫県</v>
          </cell>
          <cell r="D1451" t="str">
            <v>209</v>
          </cell>
          <cell r="E1451" t="str">
            <v>豊岡市</v>
          </cell>
          <cell r="F1451" t="str">
            <v>02</v>
          </cell>
          <cell r="G1451" t="str">
            <v>特環 単独</v>
          </cell>
          <cell r="H1451" t="str">
            <v>特定環境保全公共下水道</v>
          </cell>
          <cell r="I1451" t="str">
            <v>単独</v>
          </cell>
          <cell r="J1451" t="str">
            <v>007</v>
          </cell>
          <cell r="K1451" t="str">
            <v>出石浄化センター</v>
          </cell>
          <cell r="M1451" t="str">
            <v>1</v>
          </cell>
          <cell r="N1451" t="str">
            <v>1</v>
          </cell>
          <cell r="Q1451">
            <v>35870</v>
          </cell>
          <cell r="R1451" t="str">
            <v>平成</v>
          </cell>
          <cell r="S1451">
            <v>10</v>
          </cell>
          <cell r="T1451">
            <v>3</v>
          </cell>
          <cell r="AB1451">
            <v>12500</v>
          </cell>
          <cell r="AC1451" t="str">
            <v>円山川</v>
          </cell>
          <cell r="AD1451" t="str">
            <v>Ａ</v>
          </cell>
          <cell r="AE1451" t="str">
            <v>ロ</v>
          </cell>
          <cell r="AF1451">
            <v>15</v>
          </cell>
          <cell r="AK1451" t="str">
            <v>六方川</v>
          </cell>
          <cell r="AQ1451" t="str">
            <v/>
          </cell>
          <cell r="AR1451" t="str">
            <v>オキシディションディッチ法</v>
          </cell>
          <cell r="AS1451" t="str">
            <v>2820902007</v>
          </cell>
          <cell r="AT1451" t="str">
            <v/>
          </cell>
          <cell r="AU1451" t="str">
            <v>10</v>
          </cell>
          <cell r="AV1451" t="str">
            <v>10</v>
          </cell>
          <cell r="AW1451">
            <v>0</v>
          </cell>
          <cell r="AX1451">
            <v>0</v>
          </cell>
          <cell r="AY1451">
            <v>0</v>
          </cell>
          <cell r="AZ1451">
            <v>0</v>
          </cell>
          <cell r="BA1451">
            <v>0</v>
          </cell>
          <cell r="BD1451" t="str">
            <v/>
          </cell>
          <cell r="BE1451">
            <v>1</v>
          </cell>
          <cell r="BG1451" t="str">
            <v>1100</v>
          </cell>
        </row>
        <row r="1452">
          <cell r="B1452" t="str">
            <v>G282090206100800</v>
          </cell>
          <cell r="C1452" t="str">
            <v>28.兵庫県</v>
          </cell>
          <cell r="D1452" t="str">
            <v>209</v>
          </cell>
          <cell r="E1452" t="str">
            <v>豊岡市</v>
          </cell>
          <cell r="F1452" t="str">
            <v>02</v>
          </cell>
          <cell r="G1452" t="str">
            <v>特環 単独</v>
          </cell>
          <cell r="H1452" t="str">
            <v>特定環境保全公共下水道</v>
          </cell>
          <cell r="I1452" t="str">
            <v>単独</v>
          </cell>
          <cell r="J1452" t="str">
            <v>008</v>
          </cell>
          <cell r="K1452" t="str">
            <v>但東北浄化センター</v>
          </cell>
          <cell r="M1452" t="str">
            <v>1</v>
          </cell>
          <cell r="N1452" t="str">
            <v>1</v>
          </cell>
          <cell r="Q1452">
            <v>36250</v>
          </cell>
          <cell r="R1452" t="str">
            <v>平成</v>
          </cell>
          <cell r="S1452">
            <v>11</v>
          </cell>
          <cell r="T1452">
            <v>3</v>
          </cell>
          <cell r="AB1452">
            <v>7000</v>
          </cell>
          <cell r="AC1452" t="str">
            <v>円山川</v>
          </cell>
          <cell r="AD1452" t="str">
            <v>Ａ</v>
          </cell>
          <cell r="AE1452" t="str">
            <v>ロ</v>
          </cell>
          <cell r="AF1452">
            <v>15</v>
          </cell>
          <cell r="AK1452" t="str">
            <v>太田川</v>
          </cell>
          <cell r="AQ1452" t="str">
            <v/>
          </cell>
          <cell r="AR1452" t="str">
            <v>オキシディションディッチ法</v>
          </cell>
          <cell r="AS1452" t="str">
            <v>2820902008</v>
          </cell>
          <cell r="AT1452" t="str">
            <v/>
          </cell>
          <cell r="AU1452" t="str">
            <v>10</v>
          </cell>
          <cell r="AV1452" t="str">
            <v>10</v>
          </cell>
          <cell r="AW1452">
            <v>0</v>
          </cell>
          <cell r="AX1452">
            <v>0</v>
          </cell>
          <cell r="AY1452">
            <v>0</v>
          </cell>
          <cell r="AZ1452">
            <v>0</v>
          </cell>
          <cell r="BA1452">
            <v>0</v>
          </cell>
          <cell r="BD1452" t="str">
            <v/>
          </cell>
          <cell r="BE1452">
            <v>1</v>
          </cell>
          <cell r="BG1452" t="str">
            <v>1100</v>
          </cell>
        </row>
        <row r="1453">
          <cell r="B1453" t="str">
            <v>G282090206100900</v>
          </cell>
          <cell r="C1453" t="str">
            <v>28.兵庫県</v>
          </cell>
          <cell r="D1453" t="str">
            <v>209</v>
          </cell>
          <cell r="E1453" t="str">
            <v>豊岡市</v>
          </cell>
          <cell r="F1453" t="str">
            <v>02</v>
          </cell>
          <cell r="G1453" t="str">
            <v>特環 単独</v>
          </cell>
          <cell r="H1453" t="str">
            <v>特定環境保全公共下水道</v>
          </cell>
          <cell r="I1453" t="str">
            <v>単独</v>
          </cell>
          <cell r="J1453" t="str">
            <v>009</v>
          </cell>
          <cell r="K1453" t="str">
            <v>三方浄化センター</v>
          </cell>
          <cell r="M1453" t="str">
            <v>1</v>
          </cell>
          <cell r="N1453" t="str">
            <v>1</v>
          </cell>
          <cell r="Q1453">
            <v>36982</v>
          </cell>
          <cell r="R1453" t="str">
            <v>平成</v>
          </cell>
          <cell r="S1453">
            <v>13</v>
          </cell>
          <cell r="T1453">
            <v>4</v>
          </cell>
          <cell r="AB1453">
            <v>7700</v>
          </cell>
          <cell r="AC1453" t="str">
            <v>円山川</v>
          </cell>
          <cell r="AD1453" t="str">
            <v>Ａ</v>
          </cell>
          <cell r="AE1453" t="str">
            <v>ロ</v>
          </cell>
          <cell r="AF1453">
            <v>15</v>
          </cell>
          <cell r="AK1453" t="str">
            <v>稲葉川</v>
          </cell>
          <cell r="AQ1453" t="str">
            <v/>
          </cell>
          <cell r="AR1453" t="str">
            <v>オキシディションディッチ法</v>
          </cell>
          <cell r="AS1453" t="str">
            <v>2820902009</v>
          </cell>
          <cell r="AT1453" t="str">
            <v/>
          </cell>
          <cell r="AU1453" t="str">
            <v>10</v>
          </cell>
          <cell r="AV1453" t="str">
            <v>10</v>
          </cell>
          <cell r="AW1453">
            <v>0</v>
          </cell>
          <cell r="AX1453">
            <v>0</v>
          </cell>
          <cell r="AY1453">
            <v>0</v>
          </cell>
          <cell r="AZ1453">
            <v>0</v>
          </cell>
          <cell r="BA1453">
            <v>0</v>
          </cell>
          <cell r="BD1453" t="str">
            <v/>
          </cell>
          <cell r="BE1453">
            <v>1</v>
          </cell>
          <cell r="BG1453" t="str">
            <v>1100</v>
          </cell>
        </row>
        <row r="1454">
          <cell r="B1454" t="str">
            <v>G282090206101000</v>
          </cell>
          <cell r="C1454" t="str">
            <v>28.兵庫県</v>
          </cell>
          <cell r="D1454" t="str">
            <v>209</v>
          </cell>
          <cell r="E1454" t="str">
            <v>豊岡市</v>
          </cell>
          <cell r="F1454" t="str">
            <v>02</v>
          </cell>
          <cell r="G1454" t="str">
            <v>特環 単独</v>
          </cell>
          <cell r="H1454" t="str">
            <v>特定環境保全公共下水道</v>
          </cell>
          <cell r="I1454" t="str">
            <v>単独</v>
          </cell>
          <cell r="J1454" t="str">
            <v>010</v>
          </cell>
          <cell r="K1454" t="str">
            <v>但東西浄化センター</v>
          </cell>
          <cell r="M1454" t="str">
            <v>1</v>
          </cell>
          <cell r="N1454" t="str">
            <v>1</v>
          </cell>
          <cell r="Q1454">
            <v>37346</v>
          </cell>
          <cell r="R1454" t="str">
            <v>平成</v>
          </cell>
          <cell r="S1454">
            <v>14</v>
          </cell>
          <cell r="T1454">
            <v>3</v>
          </cell>
          <cell r="AB1454">
            <v>5400</v>
          </cell>
          <cell r="AC1454" t="str">
            <v>円山川</v>
          </cell>
          <cell r="AD1454" t="str">
            <v>Ａ</v>
          </cell>
          <cell r="AE1454" t="str">
            <v>ロ</v>
          </cell>
          <cell r="AF1454">
            <v>15</v>
          </cell>
          <cell r="AK1454" t="str">
            <v>出石川</v>
          </cell>
          <cell r="AQ1454" t="str">
            <v/>
          </cell>
          <cell r="AR1454" t="str">
            <v>オキシディションディッチ法</v>
          </cell>
          <cell r="AS1454" t="str">
            <v>2820902010</v>
          </cell>
          <cell r="AT1454" t="str">
            <v/>
          </cell>
          <cell r="AU1454" t="str">
            <v>10</v>
          </cell>
          <cell r="AV1454" t="str">
            <v>10</v>
          </cell>
          <cell r="AW1454">
            <v>0</v>
          </cell>
          <cell r="AX1454">
            <v>0</v>
          </cell>
          <cell r="AY1454">
            <v>0</v>
          </cell>
          <cell r="AZ1454">
            <v>0</v>
          </cell>
          <cell r="BA1454">
            <v>0</v>
          </cell>
          <cell r="BD1454" t="str">
            <v/>
          </cell>
          <cell r="BE1454">
            <v>1</v>
          </cell>
          <cell r="BG1454" t="str">
            <v>1100</v>
          </cell>
        </row>
        <row r="1455">
          <cell r="B1455" t="str">
            <v>G282090206101100</v>
          </cell>
          <cell r="C1455" t="str">
            <v>28.兵庫県</v>
          </cell>
          <cell r="D1455" t="str">
            <v>209</v>
          </cell>
          <cell r="E1455" t="str">
            <v>豊岡市</v>
          </cell>
          <cell r="F1455" t="str">
            <v>02</v>
          </cell>
          <cell r="G1455" t="str">
            <v>特環 単独</v>
          </cell>
          <cell r="H1455" t="str">
            <v>特定環境保全公共下水道</v>
          </cell>
          <cell r="I1455" t="str">
            <v>単独</v>
          </cell>
          <cell r="J1455" t="str">
            <v>011</v>
          </cell>
          <cell r="K1455" t="str">
            <v>港浄化センター</v>
          </cell>
          <cell r="M1455" t="str">
            <v>1</v>
          </cell>
          <cell r="N1455" t="str">
            <v>1</v>
          </cell>
          <cell r="Q1455">
            <v>37408</v>
          </cell>
          <cell r="R1455" t="str">
            <v>平成</v>
          </cell>
          <cell r="S1455">
            <v>14</v>
          </cell>
          <cell r="T1455">
            <v>6</v>
          </cell>
          <cell r="AB1455">
            <v>11700</v>
          </cell>
          <cell r="AC1455" t="str">
            <v>津居山港海域</v>
          </cell>
          <cell r="AD1455" t="str">
            <v>Ｂ</v>
          </cell>
          <cell r="AE1455" t="str">
            <v>イ</v>
          </cell>
          <cell r="AF1455">
            <v>12</v>
          </cell>
          <cell r="AK1455" t="str">
            <v>気比川</v>
          </cell>
          <cell r="AQ1455" t="str">
            <v/>
          </cell>
          <cell r="AR1455" t="str">
            <v>オキシディションディッチ法</v>
          </cell>
          <cell r="AS1455" t="str">
            <v>2820902011</v>
          </cell>
          <cell r="AT1455" t="str">
            <v/>
          </cell>
          <cell r="AU1455" t="str">
            <v>10</v>
          </cell>
          <cell r="AV1455" t="str">
            <v>10</v>
          </cell>
          <cell r="AW1455">
            <v>0</v>
          </cell>
          <cell r="AX1455">
            <v>0</v>
          </cell>
          <cell r="AY1455">
            <v>0</v>
          </cell>
          <cell r="AZ1455">
            <v>0</v>
          </cell>
          <cell r="BA1455">
            <v>0</v>
          </cell>
          <cell r="BD1455" t="str">
            <v/>
          </cell>
          <cell r="BE1455">
            <v>1</v>
          </cell>
          <cell r="BG1455" t="str">
            <v>1100</v>
          </cell>
        </row>
        <row r="1456">
          <cell r="B1456" t="str">
            <v>G282120106100100</v>
          </cell>
          <cell r="C1456" t="str">
            <v>28.兵庫県</v>
          </cell>
          <cell r="D1456" t="str">
            <v>212</v>
          </cell>
          <cell r="E1456" t="str">
            <v>赤穂市</v>
          </cell>
          <cell r="F1456" t="str">
            <v>01</v>
          </cell>
          <cell r="G1456" t="str">
            <v>公共 単独</v>
          </cell>
          <cell r="H1456" t="str">
            <v>公共下水道</v>
          </cell>
          <cell r="I1456" t="str">
            <v>単独</v>
          </cell>
          <cell r="J1456" t="str">
            <v>001</v>
          </cell>
          <cell r="K1456" t="str">
            <v>赤穂下水管理センター</v>
          </cell>
          <cell r="M1456" t="str">
            <v>1</v>
          </cell>
          <cell r="N1456" t="str">
            <v>1</v>
          </cell>
          <cell r="P1456" t="str">
            <v>1</v>
          </cell>
          <cell r="Q1456">
            <v>29830</v>
          </cell>
          <cell r="R1456" t="str">
            <v>昭和</v>
          </cell>
          <cell r="S1456">
            <v>56</v>
          </cell>
          <cell r="T1456">
            <v>9</v>
          </cell>
          <cell r="AB1456">
            <v>61000</v>
          </cell>
          <cell r="AC1456" t="str">
            <v>播磨灘北西部</v>
          </cell>
          <cell r="AD1456" t="str">
            <v>Ａ</v>
          </cell>
          <cell r="AE1456" t="str">
            <v>ロ</v>
          </cell>
          <cell r="AF1456">
            <v>15</v>
          </cell>
          <cell r="AG1456">
            <v>20</v>
          </cell>
          <cell r="AH1456">
            <v>1</v>
          </cell>
          <cell r="AI1456" t="str">
            <v>播磨灘</v>
          </cell>
          <cell r="AQ1456" t="str">
            <v/>
          </cell>
          <cell r="AR1456" t="str">
            <v>標準活性汚泥法</v>
          </cell>
          <cell r="AS1456" t="str">
            <v>2821201001</v>
          </cell>
          <cell r="AT1456" t="str">
            <v/>
          </cell>
          <cell r="AU1456" t="str">
            <v>10</v>
          </cell>
          <cell r="AV1456" t="str">
            <v>10</v>
          </cell>
          <cell r="AW1456">
            <v>1</v>
          </cell>
          <cell r="AX1456">
            <v>0</v>
          </cell>
          <cell r="AY1456">
            <v>0</v>
          </cell>
          <cell r="AZ1456">
            <v>0</v>
          </cell>
          <cell r="BA1456">
            <v>0</v>
          </cell>
          <cell r="BD1456" t="str">
            <v/>
          </cell>
          <cell r="BE1456">
            <v>1</v>
          </cell>
          <cell r="BG1456" t="str">
            <v>1101</v>
          </cell>
        </row>
        <row r="1457">
          <cell r="B1457" t="str">
            <v>G282120206100200</v>
          </cell>
          <cell r="C1457" t="str">
            <v>28.兵庫県</v>
          </cell>
          <cell r="D1457" t="str">
            <v>212</v>
          </cell>
          <cell r="E1457" t="str">
            <v>赤穂市</v>
          </cell>
          <cell r="F1457" t="str">
            <v>02</v>
          </cell>
          <cell r="G1457" t="str">
            <v>特環 単独</v>
          </cell>
          <cell r="H1457" t="str">
            <v>特定環境保全公共下水道</v>
          </cell>
          <cell r="I1457" t="str">
            <v>単独</v>
          </cell>
          <cell r="J1457" t="str">
            <v>002</v>
          </cell>
          <cell r="K1457" t="str">
            <v>福浦下水処理場</v>
          </cell>
          <cell r="M1457" t="str">
            <v>1</v>
          </cell>
          <cell r="Q1457">
            <v>35674</v>
          </cell>
          <cell r="R1457" t="str">
            <v>平成</v>
          </cell>
          <cell r="S1457">
            <v>9</v>
          </cell>
          <cell r="T1457">
            <v>9</v>
          </cell>
          <cell r="AB1457">
            <v>1800</v>
          </cell>
          <cell r="AC1457" t="str">
            <v>播磨灘北西部</v>
          </cell>
          <cell r="AD1457" t="str">
            <v>Ａ</v>
          </cell>
          <cell r="AE1457" t="str">
            <v>ロ</v>
          </cell>
          <cell r="AF1457">
            <v>15</v>
          </cell>
          <cell r="AI1457" t="str">
            <v>砂防河川鳴瀬川</v>
          </cell>
          <cell r="AQ1457" t="str">
            <v/>
          </cell>
          <cell r="AR1457" t="str">
            <v>オキシディションディッチ法</v>
          </cell>
          <cell r="AS1457" t="str">
            <v>2821202002</v>
          </cell>
          <cell r="AT1457" t="str">
            <v/>
          </cell>
          <cell r="AU1457" t="str">
            <v>00</v>
          </cell>
          <cell r="AV1457" t="str">
            <v>00</v>
          </cell>
          <cell r="AW1457">
            <v>0</v>
          </cell>
          <cell r="AX1457">
            <v>0</v>
          </cell>
          <cell r="AY1457">
            <v>0</v>
          </cell>
          <cell r="AZ1457">
            <v>0</v>
          </cell>
          <cell r="BA1457">
            <v>0</v>
          </cell>
          <cell r="BD1457" t="str">
            <v/>
          </cell>
          <cell r="BE1457">
            <v>1</v>
          </cell>
          <cell r="BG1457" t="str">
            <v>1000</v>
          </cell>
        </row>
        <row r="1458">
          <cell r="B1458" t="str">
            <v>G282120206100300</v>
          </cell>
          <cell r="C1458" t="str">
            <v>28.兵庫県</v>
          </cell>
          <cell r="D1458" t="str">
            <v>212</v>
          </cell>
          <cell r="E1458" t="str">
            <v>赤穂市</v>
          </cell>
          <cell r="F1458" t="str">
            <v>02</v>
          </cell>
          <cell r="G1458" t="str">
            <v>特環 単独</v>
          </cell>
          <cell r="H1458" t="str">
            <v>特定環境保全公共下水道</v>
          </cell>
          <cell r="I1458" t="str">
            <v>単独</v>
          </cell>
          <cell r="J1458" t="str">
            <v>003</v>
          </cell>
          <cell r="K1458" t="str">
            <v>はりま台下水処理場</v>
          </cell>
          <cell r="M1458" t="str">
            <v>1</v>
          </cell>
          <cell r="Q1458">
            <v>36586</v>
          </cell>
          <cell r="R1458" t="str">
            <v>平成</v>
          </cell>
          <cell r="S1458">
            <v>12</v>
          </cell>
          <cell r="T1458">
            <v>3</v>
          </cell>
          <cell r="AB1458">
            <v>1100</v>
          </cell>
          <cell r="AC1458" t="str">
            <v>千種川下流</v>
          </cell>
          <cell r="AD1458" t="str">
            <v>Ａ</v>
          </cell>
          <cell r="AE1458" t="str">
            <v>イ</v>
          </cell>
          <cell r="AF1458">
            <v>15</v>
          </cell>
          <cell r="AI1458" t="str">
            <v>普通河川上菅生川</v>
          </cell>
          <cell r="AJ1458" t="str">
            <v>千種川</v>
          </cell>
          <cell r="AL1458" t="str">
            <v>木津</v>
          </cell>
          <cell r="AN1458">
            <v>8</v>
          </cell>
          <cell r="AO1458" t="str">
            <v>赤穂市</v>
          </cell>
          <cell r="AQ1458" t="str">
            <v/>
          </cell>
          <cell r="AR1458" t="str">
            <v>長時間エアレーション法</v>
          </cell>
          <cell r="AS1458" t="str">
            <v>2821202003</v>
          </cell>
          <cell r="AT1458" t="str">
            <v/>
          </cell>
          <cell r="AU1458" t="str">
            <v>00</v>
          </cell>
          <cell r="AV1458" t="str">
            <v>00</v>
          </cell>
          <cell r="AW1458">
            <v>0</v>
          </cell>
          <cell r="AX1458">
            <v>0</v>
          </cell>
          <cell r="AY1458">
            <v>0</v>
          </cell>
          <cell r="AZ1458">
            <v>0</v>
          </cell>
          <cell r="BA1458">
            <v>0</v>
          </cell>
          <cell r="BD1458" t="str">
            <v/>
          </cell>
          <cell r="BE1458">
            <v>1</v>
          </cell>
          <cell r="BG1458" t="str">
            <v>1000</v>
          </cell>
        </row>
        <row r="1459">
          <cell r="B1459" t="str">
            <v>G282120206100400</v>
          </cell>
          <cell r="C1459" t="str">
            <v>28.兵庫県</v>
          </cell>
          <cell r="D1459" t="str">
            <v>212</v>
          </cell>
          <cell r="E1459" t="str">
            <v>赤穂市</v>
          </cell>
          <cell r="F1459" t="str">
            <v>02</v>
          </cell>
          <cell r="G1459" t="str">
            <v>特環 単独</v>
          </cell>
          <cell r="H1459" t="str">
            <v>特定環境保全公共下水道</v>
          </cell>
          <cell r="I1459" t="str">
            <v>単独</v>
          </cell>
          <cell r="J1459" t="str">
            <v>004</v>
          </cell>
          <cell r="K1459" t="str">
            <v>古池下水処理場</v>
          </cell>
          <cell r="M1459" t="str">
            <v>1</v>
          </cell>
          <cell r="Q1459">
            <v>36951</v>
          </cell>
          <cell r="R1459" t="str">
            <v>平成</v>
          </cell>
          <cell r="S1459">
            <v>13</v>
          </cell>
          <cell r="T1459">
            <v>3</v>
          </cell>
          <cell r="AB1459">
            <v>860</v>
          </cell>
          <cell r="AC1459" t="str">
            <v>播磨灘北西部</v>
          </cell>
          <cell r="AD1459" t="str">
            <v>Ａ</v>
          </cell>
          <cell r="AE1459" t="str">
            <v>ロ</v>
          </cell>
          <cell r="AF1459">
            <v>15</v>
          </cell>
          <cell r="AI1459" t="str">
            <v>播磨灘</v>
          </cell>
          <cell r="AQ1459" t="str">
            <v/>
          </cell>
          <cell r="AR1459" t="str">
            <v>オキシディションディッチ法</v>
          </cell>
          <cell r="AS1459" t="str">
            <v>2821202004</v>
          </cell>
          <cell r="AT1459" t="str">
            <v/>
          </cell>
          <cell r="AU1459" t="str">
            <v>00</v>
          </cell>
          <cell r="AV1459" t="str">
            <v>00</v>
          </cell>
          <cell r="AW1459">
            <v>0</v>
          </cell>
          <cell r="AX1459">
            <v>0</v>
          </cell>
          <cell r="AY1459">
            <v>0</v>
          </cell>
          <cell r="AZ1459">
            <v>0</v>
          </cell>
          <cell r="BA1459">
            <v>0</v>
          </cell>
          <cell r="BD1459" t="str">
            <v/>
          </cell>
          <cell r="BE1459">
            <v>1</v>
          </cell>
          <cell r="BG1459" t="str">
            <v>1000</v>
          </cell>
        </row>
        <row r="1460">
          <cell r="B1460" t="str">
            <v>G282120206100500</v>
          </cell>
          <cell r="C1460" t="str">
            <v>28.兵庫県</v>
          </cell>
          <cell r="D1460" t="str">
            <v>212</v>
          </cell>
          <cell r="E1460" t="str">
            <v>赤穂市</v>
          </cell>
          <cell r="F1460" t="str">
            <v>02</v>
          </cell>
          <cell r="G1460" t="str">
            <v>特環 単独</v>
          </cell>
          <cell r="H1460" t="str">
            <v>特定環境保全公共下水道</v>
          </cell>
          <cell r="I1460" t="str">
            <v>単独</v>
          </cell>
          <cell r="J1460" t="str">
            <v>005</v>
          </cell>
          <cell r="K1460" t="str">
            <v>大泊下水処理場</v>
          </cell>
          <cell r="M1460" t="str">
            <v>1</v>
          </cell>
          <cell r="Q1460">
            <v>36951</v>
          </cell>
          <cell r="R1460" t="str">
            <v>平成</v>
          </cell>
          <cell r="S1460">
            <v>13</v>
          </cell>
          <cell r="T1460">
            <v>3</v>
          </cell>
          <cell r="AB1460">
            <v>880</v>
          </cell>
          <cell r="AC1460" t="str">
            <v>播磨灘北西部</v>
          </cell>
          <cell r="AD1460" t="str">
            <v>Ａ</v>
          </cell>
          <cell r="AE1460" t="str">
            <v>ロ</v>
          </cell>
          <cell r="AF1460">
            <v>15</v>
          </cell>
          <cell r="AI1460" t="str">
            <v>普通河川大泊谷川</v>
          </cell>
          <cell r="AQ1460" t="str">
            <v/>
          </cell>
          <cell r="AR1460" t="str">
            <v>オキシディションディッチ法</v>
          </cell>
          <cell r="AS1460" t="str">
            <v>2821202005</v>
          </cell>
          <cell r="AT1460" t="str">
            <v/>
          </cell>
          <cell r="AU1460" t="str">
            <v>00</v>
          </cell>
          <cell r="AV1460" t="str">
            <v>00</v>
          </cell>
          <cell r="AW1460">
            <v>0</v>
          </cell>
          <cell r="AX1460">
            <v>0</v>
          </cell>
          <cell r="AY1460">
            <v>0</v>
          </cell>
          <cell r="AZ1460">
            <v>0</v>
          </cell>
          <cell r="BA1460">
            <v>0</v>
          </cell>
          <cell r="BD1460" t="str">
            <v/>
          </cell>
          <cell r="BE1460">
            <v>1</v>
          </cell>
          <cell r="BG1460" t="str">
            <v>1000</v>
          </cell>
        </row>
        <row r="1461">
          <cell r="B1461" t="str">
            <v>G282120206100600</v>
          </cell>
          <cell r="C1461" t="str">
            <v>28.兵庫県</v>
          </cell>
          <cell r="D1461" t="str">
            <v>212</v>
          </cell>
          <cell r="E1461" t="str">
            <v>赤穂市</v>
          </cell>
          <cell r="F1461" t="str">
            <v>02</v>
          </cell>
          <cell r="G1461" t="str">
            <v>特環 単独</v>
          </cell>
          <cell r="H1461" t="str">
            <v>特定環境保全公共下水道</v>
          </cell>
          <cell r="I1461" t="str">
            <v>単独</v>
          </cell>
          <cell r="J1461" t="str">
            <v>006</v>
          </cell>
          <cell r="K1461" t="str">
            <v>小島下水処理場</v>
          </cell>
          <cell r="M1461" t="str">
            <v>1</v>
          </cell>
          <cell r="N1461" t="str">
            <v>1</v>
          </cell>
          <cell r="Q1461">
            <v>37591</v>
          </cell>
          <cell r="R1461" t="str">
            <v>平成</v>
          </cell>
          <cell r="S1461">
            <v>14</v>
          </cell>
          <cell r="T1461">
            <v>12</v>
          </cell>
          <cell r="AB1461">
            <v>1200</v>
          </cell>
          <cell r="AC1461" t="str">
            <v>播磨灘北西部</v>
          </cell>
          <cell r="AD1461" t="str">
            <v>Ａ</v>
          </cell>
          <cell r="AE1461" t="str">
            <v>ロ</v>
          </cell>
          <cell r="AF1461">
            <v>15</v>
          </cell>
          <cell r="AI1461" t="str">
            <v>既設水路</v>
          </cell>
          <cell r="AQ1461" t="str">
            <v/>
          </cell>
          <cell r="AR1461" t="str">
            <v>長時間エアレーション法</v>
          </cell>
          <cell r="AS1461" t="str">
            <v>2821202006</v>
          </cell>
          <cell r="AT1461" t="str">
            <v/>
          </cell>
          <cell r="AU1461" t="str">
            <v>10</v>
          </cell>
          <cell r="AV1461" t="str">
            <v>10</v>
          </cell>
          <cell r="AW1461">
            <v>0</v>
          </cell>
          <cell r="AX1461">
            <v>0</v>
          </cell>
          <cell r="AY1461">
            <v>0</v>
          </cell>
          <cell r="AZ1461">
            <v>0</v>
          </cell>
          <cell r="BA1461">
            <v>0</v>
          </cell>
          <cell r="BD1461" t="str">
            <v/>
          </cell>
          <cell r="BE1461">
            <v>1</v>
          </cell>
          <cell r="BG1461" t="str">
            <v>1100</v>
          </cell>
        </row>
        <row r="1462">
          <cell r="B1462" t="str">
            <v>G282130206100100</v>
          </cell>
          <cell r="C1462" t="str">
            <v>28.兵庫県</v>
          </cell>
          <cell r="D1462" t="str">
            <v>213</v>
          </cell>
          <cell r="E1462" t="str">
            <v>西脇市</v>
          </cell>
          <cell r="F1462" t="str">
            <v>02</v>
          </cell>
          <cell r="G1462" t="str">
            <v>特環 単独</v>
          </cell>
          <cell r="H1462" t="str">
            <v>特定環境保全公共下水道</v>
          </cell>
          <cell r="I1462" t="str">
            <v>単独</v>
          </cell>
          <cell r="J1462" t="str">
            <v>001</v>
          </cell>
          <cell r="K1462" t="str">
            <v>黒田庄浄化センター</v>
          </cell>
          <cell r="M1462" t="str">
            <v>1</v>
          </cell>
          <cell r="N1462" t="str">
            <v>1</v>
          </cell>
          <cell r="Q1462">
            <v>35521</v>
          </cell>
          <cell r="R1462" t="str">
            <v>平成</v>
          </cell>
          <cell r="S1462">
            <v>9</v>
          </cell>
          <cell r="T1462">
            <v>4</v>
          </cell>
          <cell r="AB1462">
            <v>10000</v>
          </cell>
          <cell r="AC1462" t="str">
            <v>加古川下流</v>
          </cell>
          <cell r="AD1462" t="str">
            <v>Ｂ</v>
          </cell>
          <cell r="AE1462" t="str">
            <v>ロ</v>
          </cell>
          <cell r="AF1462">
            <v>15</v>
          </cell>
          <cell r="AK1462" t="str">
            <v>加古川</v>
          </cell>
          <cell r="AL1462" t="str">
            <v>中西条浄化センター</v>
          </cell>
          <cell r="AN1462">
            <v>30</v>
          </cell>
          <cell r="AQ1462" t="str">
            <v/>
          </cell>
          <cell r="AR1462" t="str">
            <v>オキシディションディッチ法</v>
          </cell>
          <cell r="AS1462" t="str">
            <v>2821302001</v>
          </cell>
          <cell r="AT1462" t="str">
            <v/>
          </cell>
          <cell r="AU1462" t="str">
            <v>10</v>
          </cell>
          <cell r="AV1462" t="str">
            <v>10</v>
          </cell>
          <cell r="AW1462">
            <v>0</v>
          </cell>
          <cell r="AX1462">
            <v>0</v>
          </cell>
          <cell r="AY1462">
            <v>0</v>
          </cell>
          <cell r="AZ1462">
            <v>0</v>
          </cell>
          <cell r="BA1462">
            <v>0</v>
          </cell>
          <cell r="BD1462" t="str">
            <v/>
          </cell>
          <cell r="BE1462">
            <v>1</v>
          </cell>
          <cell r="BG1462" t="str">
            <v>1100</v>
          </cell>
        </row>
        <row r="1463">
          <cell r="B1463" t="str">
            <v>G282150106100100</v>
          </cell>
          <cell r="C1463" t="str">
            <v>28.兵庫県</v>
          </cell>
          <cell r="D1463" t="str">
            <v>215</v>
          </cell>
          <cell r="E1463" t="str">
            <v>三木市</v>
          </cell>
          <cell r="F1463" t="str">
            <v>01</v>
          </cell>
          <cell r="G1463" t="str">
            <v>公共 単独</v>
          </cell>
          <cell r="H1463" t="str">
            <v>公共下水道</v>
          </cell>
          <cell r="I1463" t="str">
            <v>単独</v>
          </cell>
          <cell r="J1463" t="str">
            <v>001</v>
          </cell>
          <cell r="K1463" t="str">
            <v>吉川浄化センター</v>
          </cell>
          <cell r="M1463" t="str">
            <v>1</v>
          </cell>
          <cell r="N1463" t="str">
            <v>1</v>
          </cell>
          <cell r="Q1463">
            <v>35796</v>
          </cell>
          <cell r="R1463" t="str">
            <v>平成</v>
          </cell>
          <cell r="S1463">
            <v>10</v>
          </cell>
          <cell r="T1463">
            <v>1</v>
          </cell>
          <cell r="AB1463">
            <v>7300</v>
          </cell>
          <cell r="AC1463" t="str">
            <v>加古川水域加古川下流</v>
          </cell>
          <cell r="AD1463" t="str">
            <v>Ｂ</v>
          </cell>
          <cell r="AE1463" t="str">
            <v>ロ</v>
          </cell>
          <cell r="AF1463">
            <v>15</v>
          </cell>
          <cell r="AK1463" t="str">
            <v>加古川水系美嚢川</v>
          </cell>
          <cell r="AL1463" t="str">
            <v>加古川大堰</v>
          </cell>
          <cell r="AM1463">
            <v>27</v>
          </cell>
          <cell r="AO1463" t="str">
            <v>加古川</v>
          </cell>
          <cell r="AQ1463" t="str">
            <v/>
          </cell>
          <cell r="AR1463" t="str">
            <v>回分式活性汚泥法</v>
          </cell>
          <cell r="AS1463" t="str">
            <v>2821501001</v>
          </cell>
          <cell r="AT1463" t="str">
            <v/>
          </cell>
          <cell r="AU1463" t="str">
            <v>10</v>
          </cell>
          <cell r="AV1463" t="str">
            <v>10</v>
          </cell>
          <cell r="AW1463">
            <v>0</v>
          </cell>
          <cell r="AX1463">
            <v>0</v>
          </cell>
          <cell r="AY1463">
            <v>0</v>
          </cell>
          <cell r="AZ1463">
            <v>0</v>
          </cell>
          <cell r="BA1463">
            <v>0</v>
          </cell>
          <cell r="BD1463" t="str">
            <v/>
          </cell>
          <cell r="BE1463">
            <v>1</v>
          </cell>
          <cell r="BG1463" t="str">
            <v>1100</v>
          </cell>
        </row>
        <row r="1464">
          <cell r="B1464" t="str">
            <v>G282160106100100</v>
          </cell>
          <cell r="C1464" t="str">
            <v>28.兵庫県</v>
          </cell>
          <cell r="D1464" t="str">
            <v>216</v>
          </cell>
          <cell r="E1464" t="str">
            <v>高砂市</v>
          </cell>
          <cell r="F1464" t="str">
            <v>01</v>
          </cell>
          <cell r="G1464" t="str">
            <v>公共 単独</v>
          </cell>
          <cell r="H1464" t="str">
            <v>公共下水道</v>
          </cell>
          <cell r="I1464" t="str">
            <v>単独</v>
          </cell>
          <cell r="J1464" t="str">
            <v>001</v>
          </cell>
          <cell r="K1464" t="str">
            <v>高砂浄化センター</v>
          </cell>
          <cell r="M1464" t="str">
            <v>1</v>
          </cell>
          <cell r="N1464" t="str">
            <v>1</v>
          </cell>
          <cell r="Q1464">
            <v>24047</v>
          </cell>
          <cell r="R1464" t="str">
            <v>昭和</v>
          </cell>
          <cell r="S1464">
            <v>40</v>
          </cell>
          <cell r="T1464">
            <v>11</v>
          </cell>
          <cell r="AB1464">
            <v>14200</v>
          </cell>
          <cell r="AC1464" t="str">
            <v>播磨海域(3)</v>
          </cell>
          <cell r="AD1464" t="str">
            <v>Ｃ</v>
          </cell>
          <cell r="AE1464" t="str">
            <v>ロ</v>
          </cell>
          <cell r="AF1464">
            <v>15</v>
          </cell>
          <cell r="AI1464" t="str">
            <v>播磨灘</v>
          </cell>
          <cell r="AQ1464" t="str">
            <v/>
          </cell>
          <cell r="AR1464" t="str">
            <v>その他処理方法</v>
          </cell>
          <cell r="AS1464" t="str">
            <v>2821601001</v>
          </cell>
          <cell r="AT1464" t="str">
            <v/>
          </cell>
          <cell r="AU1464" t="str">
            <v>10</v>
          </cell>
          <cell r="AV1464" t="str">
            <v>10</v>
          </cell>
          <cell r="AW1464">
            <v>0</v>
          </cell>
          <cell r="AX1464">
            <v>0</v>
          </cell>
          <cell r="AY1464">
            <v>0</v>
          </cell>
          <cell r="AZ1464">
            <v>0</v>
          </cell>
          <cell r="BA1464">
            <v>0</v>
          </cell>
          <cell r="BD1464" t="str">
            <v/>
          </cell>
          <cell r="BE1464">
            <v>1</v>
          </cell>
          <cell r="BG1464" t="str">
            <v>1100</v>
          </cell>
        </row>
        <row r="1465">
          <cell r="B1465" t="str">
            <v>G282160106100200</v>
          </cell>
          <cell r="C1465" t="str">
            <v>28.兵庫県</v>
          </cell>
          <cell r="D1465" t="str">
            <v>216</v>
          </cell>
          <cell r="E1465" t="str">
            <v>高砂市</v>
          </cell>
          <cell r="F1465" t="str">
            <v>01</v>
          </cell>
          <cell r="G1465" t="str">
            <v>公共 単独</v>
          </cell>
          <cell r="H1465" t="str">
            <v>公共下水道</v>
          </cell>
          <cell r="I1465" t="str">
            <v>単独</v>
          </cell>
          <cell r="J1465" t="str">
            <v>002</v>
          </cell>
          <cell r="K1465" t="str">
            <v>伊保浄化センター</v>
          </cell>
          <cell r="M1465" t="str">
            <v>1</v>
          </cell>
          <cell r="N1465" t="str">
            <v>1</v>
          </cell>
          <cell r="Q1465">
            <v>30864</v>
          </cell>
          <cell r="R1465" t="str">
            <v>昭和</v>
          </cell>
          <cell r="S1465">
            <v>59</v>
          </cell>
          <cell r="T1465">
            <v>7</v>
          </cell>
          <cell r="AB1465">
            <v>37600</v>
          </cell>
          <cell r="AC1465" t="str">
            <v>播磨海域（11）</v>
          </cell>
          <cell r="AD1465" t="str">
            <v>Ｂ</v>
          </cell>
          <cell r="AE1465" t="str">
            <v>ロ</v>
          </cell>
          <cell r="AF1465">
            <v>15</v>
          </cell>
          <cell r="AI1465" t="str">
            <v>播磨灘</v>
          </cell>
          <cell r="AQ1465" t="str">
            <v/>
          </cell>
          <cell r="AR1465" t="str">
            <v>標準活性汚泥法</v>
          </cell>
          <cell r="AS1465" t="str">
            <v>2821601002</v>
          </cell>
          <cell r="AT1465" t="str">
            <v/>
          </cell>
          <cell r="AU1465" t="str">
            <v>10</v>
          </cell>
          <cell r="AV1465" t="str">
            <v>10</v>
          </cell>
          <cell r="AW1465">
            <v>0</v>
          </cell>
          <cell r="AX1465">
            <v>0</v>
          </cell>
          <cell r="AY1465">
            <v>0</v>
          </cell>
          <cell r="AZ1465">
            <v>0</v>
          </cell>
          <cell r="BA1465">
            <v>0</v>
          </cell>
          <cell r="BD1465" t="str">
            <v/>
          </cell>
          <cell r="BE1465">
            <v>1</v>
          </cell>
          <cell r="BG1465" t="str">
            <v>1100</v>
          </cell>
        </row>
        <row r="1466">
          <cell r="B1466" t="str">
            <v>G282210106100100</v>
          </cell>
          <cell r="C1466" t="str">
            <v>28.兵庫県</v>
          </cell>
          <cell r="D1466" t="str">
            <v>221</v>
          </cell>
          <cell r="E1466" t="str">
            <v>篠山市</v>
          </cell>
          <cell r="F1466" t="str">
            <v>01</v>
          </cell>
          <cell r="G1466" t="str">
            <v>公共 単独</v>
          </cell>
          <cell r="H1466" t="str">
            <v>公共下水道</v>
          </cell>
          <cell r="I1466" t="str">
            <v>単独</v>
          </cell>
          <cell r="J1466" t="str">
            <v>001</v>
          </cell>
          <cell r="K1466" t="str">
            <v>篠山環境衛生センター</v>
          </cell>
          <cell r="M1466" t="str">
            <v>1</v>
          </cell>
          <cell r="N1466" t="str">
            <v>1</v>
          </cell>
          <cell r="Q1466">
            <v>30590</v>
          </cell>
          <cell r="R1466" t="str">
            <v>昭和</v>
          </cell>
          <cell r="S1466">
            <v>58</v>
          </cell>
          <cell r="T1466">
            <v>10</v>
          </cell>
          <cell r="AB1466">
            <v>11630</v>
          </cell>
          <cell r="AC1466" t="str">
            <v>加古川上流</v>
          </cell>
          <cell r="AD1466" t="str">
            <v>Ａ</v>
          </cell>
          <cell r="AE1466" t="str">
            <v>イ</v>
          </cell>
          <cell r="AF1466">
            <v>15</v>
          </cell>
          <cell r="AK1466" t="str">
            <v>篠山川</v>
          </cell>
          <cell r="AL1466" t="str">
            <v>谷山取水ポンプ</v>
          </cell>
          <cell r="AM1466">
            <v>0.6</v>
          </cell>
          <cell r="AO1466" t="str">
            <v>篠山市</v>
          </cell>
          <cell r="AQ1466" t="str">
            <v/>
          </cell>
          <cell r="AR1466" t="str">
            <v>標準活性汚泥法</v>
          </cell>
          <cell r="AS1466" t="str">
            <v>2822101001</v>
          </cell>
          <cell r="AT1466" t="str">
            <v/>
          </cell>
          <cell r="AU1466" t="str">
            <v>10</v>
          </cell>
          <cell r="AV1466" t="str">
            <v>10</v>
          </cell>
          <cell r="AW1466">
            <v>0</v>
          </cell>
          <cell r="AX1466">
            <v>0</v>
          </cell>
          <cell r="AY1466">
            <v>0</v>
          </cell>
          <cell r="AZ1466">
            <v>0</v>
          </cell>
          <cell r="BA1466">
            <v>0</v>
          </cell>
          <cell r="BD1466" t="str">
            <v/>
          </cell>
          <cell r="BE1466">
            <v>1</v>
          </cell>
          <cell r="BG1466" t="str">
            <v>1100</v>
          </cell>
        </row>
        <row r="1467">
          <cell r="B1467" t="str">
            <v>G282210106100200</v>
          </cell>
          <cell r="C1467" t="str">
            <v>28.兵庫県</v>
          </cell>
          <cell r="D1467" t="str">
            <v>221</v>
          </cell>
          <cell r="E1467" t="str">
            <v>篠山市</v>
          </cell>
          <cell r="F1467" t="str">
            <v>01</v>
          </cell>
          <cell r="G1467" t="str">
            <v>公共 単独</v>
          </cell>
          <cell r="H1467" t="str">
            <v>公共下水道</v>
          </cell>
          <cell r="I1467" t="str">
            <v>単独</v>
          </cell>
          <cell r="J1467" t="str">
            <v>002</v>
          </cell>
          <cell r="K1467" t="str">
            <v>住吉浄化センター</v>
          </cell>
          <cell r="M1467" t="str">
            <v>1</v>
          </cell>
          <cell r="N1467" t="str">
            <v>1</v>
          </cell>
          <cell r="Q1467">
            <v>36586</v>
          </cell>
          <cell r="R1467" t="str">
            <v>平成</v>
          </cell>
          <cell r="S1467">
            <v>12</v>
          </cell>
          <cell r="T1467">
            <v>3</v>
          </cell>
          <cell r="AB1467">
            <v>14148</v>
          </cell>
          <cell r="AC1467" t="str">
            <v>加古川上流</v>
          </cell>
          <cell r="AD1467" t="str">
            <v>Ａ</v>
          </cell>
          <cell r="AE1467" t="str">
            <v>イ</v>
          </cell>
          <cell r="AF1467">
            <v>9</v>
          </cell>
          <cell r="AK1467" t="str">
            <v>篠山川</v>
          </cell>
          <cell r="AL1467" t="str">
            <v>大山取水ポンプ</v>
          </cell>
          <cell r="AN1467">
            <v>1.7</v>
          </cell>
          <cell r="AO1467" t="str">
            <v>篠山市</v>
          </cell>
          <cell r="AQ1467" t="str">
            <v/>
          </cell>
          <cell r="AR1467" t="str">
            <v>標準活性汚泥法</v>
          </cell>
          <cell r="AS1467" t="str">
            <v>2822101002</v>
          </cell>
          <cell r="AT1467" t="str">
            <v/>
          </cell>
          <cell r="AU1467" t="str">
            <v>10</v>
          </cell>
          <cell r="AV1467" t="str">
            <v>10</v>
          </cell>
          <cell r="AW1467">
            <v>0</v>
          </cell>
          <cell r="AX1467">
            <v>0</v>
          </cell>
          <cell r="AY1467">
            <v>0</v>
          </cell>
          <cell r="AZ1467">
            <v>0</v>
          </cell>
          <cell r="BA1467">
            <v>0</v>
          </cell>
          <cell r="BD1467" t="str">
            <v/>
          </cell>
          <cell r="BE1467">
            <v>1</v>
          </cell>
          <cell r="BG1467" t="str">
            <v>1100</v>
          </cell>
        </row>
        <row r="1468">
          <cell r="B1468" t="str">
            <v>G282210206100300</v>
          </cell>
          <cell r="C1468" t="str">
            <v>28.兵庫県</v>
          </cell>
          <cell r="D1468" t="str">
            <v>221</v>
          </cell>
          <cell r="E1468" t="str">
            <v>篠山市</v>
          </cell>
          <cell r="F1468" t="str">
            <v>02</v>
          </cell>
          <cell r="G1468" t="str">
            <v>特環 単独</v>
          </cell>
          <cell r="H1468" t="str">
            <v>特定環境保全公共下水道</v>
          </cell>
          <cell r="I1468" t="str">
            <v>単独</v>
          </cell>
          <cell r="J1468" t="str">
            <v>003</v>
          </cell>
          <cell r="K1468" t="str">
            <v>西紀中央浄化センター</v>
          </cell>
          <cell r="M1468" t="str">
            <v>1</v>
          </cell>
          <cell r="N1468" t="str">
            <v>1</v>
          </cell>
          <cell r="Q1468">
            <v>35309</v>
          </cell>
          <cell r="R1468" t="str">
            <v>平成</v>
          </cell>
          <cell r="S1468">
            <v>8</v>
          </cell>
          <cell r="T1468">
            <v>9</v>
          </cell>
          <cell r="AB1468">
            <v>6624</v>
          </cell>
          <cell r="AC1468" t="str">
            <v>加古川上流</v>
          </cell>
          <cell r="AD1468" t="str">
            <v>Ａ</v>
          </cell>
          <cell r="AE1468" t="str">
            <v>イ</v>
          </cell>
          <cell r="AF1468">
            <v>15</v>
          </cell>
          <cell r="AK1468" t="str">
            <v>篠山川</v>
          </cell>
          <cell r="AL1468" t="str">
            <v>大山取水ポンプ</v>
          </cell>
          <cell r="AN1468">
            <v>1.5</v>
          </cell>
          <cell r="AO1468" t="str">
            <v>篠山市</v>
          </cell>
          <cell r="AQ1468" t="str">
            <v/>
          </cell>
          <cell r="AR1468" t="str">
            <v>オキシディションディッチ法</v>
          </cell>
          <cell r="AS1468" t="str">
            <v>2822102003</v>
          </cell>
          <cell r="AT1468" t="str">
            <v/>
          </cell>
          <cell r="AU1468" t="str">
            <v>10</v>
          </cell>
          <cell r="AV1468" t="str">
            <v>10</v>
          </cell>
          <cell r="AW1468">
            <v>0</v>
          </cell>
          <cell r="AX1468">
            <v>0</v>
          </cell>
          <cell r="AY1468">
            <v>0</v>
          </cell>
          <cell r="AZ1468">
            <v>0</v>
          </cell>
          <cell r="BA1468">
            <v>0</v>
          </cell>
          <cell r="BD1468" t="str">
            <v/>
          </cell>
          <cell r="BE1468">
            <v>1</v>
          </cell>
          <cell r="BG1468" t="str">
            <v>1100</v>
          </cell>
        </row>
        <row r="1469">
          <cell r="B1469" t="str">
            <v>G282210206100400</v>
          </cell>
          <cell r="C1469" t="str">
            <v>28.兵庫県</v>
          </cell>
          <cell r="D1469" t="str">
            <v>221</v>
          </cell>
          <cell r="E1469" t="str">
            <v>篠山市</v>
          </cell>
          <cell r="F1469" t="str">
            <v>02</v>
          </cell>
          <cell r="G1469" t="str">
            <v>特環 単独</v>
          </cell>
          <cell r="H1469" t="str">
            <v>特定環境保全公共下水道</v>
          </cell>
          <cell r="I1469" t="str">
            <v>単独</v>
          </cell>
          <cell r="J1469" t="str">
            <v>004</v>
          </cell>
          <cell r="K1469" t="str">
            <v>西紀北浄化センター</v>
          </cell>
          <cell r="M1469" t="str">
            <v>1</v>
          </cell>
          <cell r="N1469" t="str">
            <v>1</v>
          </cell>
          <cell r="Q1469">
            <v>36586</v>
          </cell>
          <cell r="R1469" t="str">
            <v>平成</v>
          </cell>
          <cell r="S1469">
            <v>12</v>
          </cell>
          <cell r="T1469">
            <v>3</v>
          </cell>
          <cell r="AB1469">
            <v>5473</v>
          </cell>
          <cell r="AC1469" t="str">
            <v>由良川上流</v>
          </cell>
          <cell r="AD1469" t="str">
            <v>Ａ</v>
          </cell>
          <cell r="AE1469" t="str">
            <v>イ</v>
          </cell>
          <cell r="AF1469">
            <v>15</v>
          </cell>
          <cell r="AK1469" t="str">
            <v>友渕川</v>
          </cell>
          <cell r="AL1469" t="str">
            <v>菟原水源</v>
          </cell>
          <cell r="AN1469">
            <v>3.3</v>
          </cell>
          <cell r="AQ1469" t="str">
            <v/>
          </cell>
          <cell r="AR1469" t="str">
            <v>オキシディションディッチ法</v>
          </cell>
          <cell r="AS1469" t="str">
            <v>2822102004</v>
          </cell>
          <cell r="AT1469" t="str">
            <v/>
          </cell>
          <cell r="AU1469" t="str">
            <v>10</v>
          </cell>
          <cell r="AV1469" t="str">
            <v>10</v>
          </cell>
          <cell r="AW1469">
            <v>0</v>
          </cell>
          <cell r="AX1469">
            <v>0</v>
          </cell>
          <cell r="AY1469">
            <v>0</v>
          </cell>
          <cell r="AZ1469">
            <v>0</v>
          </cell>
          <cell r="BA1469">
            <v>0</v>
          </cell>
          <cell r="BD1469" t="str">
            <v/>
          </cell>
          <cell r="BE1469">
            <v>1</v>
          </cell>
          <cell r="BG1469" t="str">
            <v>1100</v>
          </cell>
        </row>
        <row r="1470">
          <cell r="B1470" t="str">
            <v>G282210206100500</v>
          </cell>
          <cell r="C1470" t="str">
            <v>28.兵庫県</v>
          </cell>
          <cell r="D1470" t="str">
            <v>221</v>
          </cell>
          <cell r="E1470" t="str">
            <v>篠山市</v>
          </cell>
          <cell r="F1470" t="str">
            <v>02</v>
          </cell>
          <cell r="G1470" t="str">
            <v>特環 単独</v>
          </cell>
          <cell r="H1470" t="str">
            <v>特定環境保全公共下水道</v>
          </cell>
          <cell r="I1470" t="str">
            <v>単独</v>
          </cell>
          <cell r="J1470" t="str">
            <v>005</v>
          </cell>
          <cell r="K1470" t="str">
            <v>小野原浄化センター</v>
          </cell>
          <cell r="M1470" t="str">
            <v>1</v>
          </cell>
          <cell r="N1470" t="str">
            <v>1</v>
          </cell>
          <cell r="Q1470">
            <v>36586</v>
          </cell>
          <cell r="R1470" t="str">
            <v>平成</v>
          </cell>
          <cell r="S1470">
            <v>12</v>
          </cell>
          <cell r="T1470">
            <v>3</v>
          </cell>
          <cell r="AB1470">
            <v>3300</v>
          </cell>
          <cell r="AC1470" t="str">
            <v>加古川上流</v>
          </cell>
          <cell r="AD1470" t="str">
            <v>Ａ</v>
          </cell>
          <cell r="AE1470" t="str">
            <v>イ</v>
          </cell>
          <cell r="AF1470">
            <v>15</v>
          </cell>
          <cell r="AK1470" t="str">
            <v>四斗谷川</v>
          </cell>
          <cell r="AL1470" t="str">
            <v>秋津取水口</v>
          </cell>
          <cell r="AN1470">
            <v>11.3</v>
          </cell>
          <cell r="AO1470" t="str">
            <v>加東市</v>
          </cell>
          <cell r="AQ1470" t="str">
            <v/>
          </cell>
          <cell r="AR1470" t="str">
            <v>オキシディションディッチ法</v>
          </cell>
          <cell r="AS1470" t="str">
            <v>2822102005</v>
          </cell>
          <cell r="AT1470" t="str">
            <v/>
          </cell>
          <cell r="AU1470" t="str">
            <v>10</v>
          </cell>
          <cell r="AV1470" t="str">
            <v>10</v>
          </cell>
          <cell r="AW1470">
            <v>0</v>
          </cell>
          <cell r="AX1470">
            <v>0</v>
          </cell>
          <cell r="AY1470">
            <v>0</v>
          </cell>
          <cell r="AZ1470">
            <v>0</v>
          </cell>
          <cell r="BA1470">
            <v>0</v>
          </cell>
          <cell r="BD1470" t="str">
            <v/>
          </cell>
          <cell r="BE1470">
            <v>1</v>
          </cell>
          <cell r="BG1470" t="str">
            <v>1100</v>
          </cell>
        </row>
        <row r="1471">
          <cell r="B1471" t="str">
            <v>G282210206100600</v>
          </cell>
          <cell r="C1471" t="str">
            <v>28.兵庫県</v>
          </cell>
          <cell r="D1471" t="str">
            <v>221</v>
          </cell>
          <cell r="E1471" t="str">
            <v>篠山市</v>
          </cell>
          <cell r="F1471" t="str">
            <v>02</v>
          </cell>
          <cell r="G1471" t="str">
            <v>特環 単独</v>
          </cell>
          <cell r="H1471" t="str">
            <v>特定環境保全公共下水道</v>
          </cell>
          <cell r="I1471" t="str">
            <v>単独</v>
          </cell>
          <cell r="J1471" t="str">
            <v>006</v>
          </cell>
          <cell r="K1471" t="str">
            <v>立杭浄化センター</v>
          </cell>
          <cell r="M1471" t="str">
            <v>1</v>
          </cell>
          <cell r="N1471" t="str">
            <v>1</v>
          </cell>
          <cell r="Q1471">
            <v>36831</v>
          </cell>
          <cell r="R1471" t="str">
            <v>平成</v>
          </cell>
          <cell r="S1471">
            <v>12</v>
          </cell>
          <cell r="T1471">
            <v>11</v>
          </cell>
          <cell r="AB1471">
            <v>3124</v>
          </cell>
          <cell r="AC1471" t="str">
            <v>加古川上流</v>
          </cell>
          <cell r="AD1471" t="str">
            <v>Ａ</v>
          </cell>
          <cell r="AE1471" t="str">
            <v>イ</v>
          </cell>
          <cell r="AF1471">
            <v>15</v>
          </cell>
          <cell r="AK1471" t="str">
            <v>四斗谷川</v>
          </cell>
          <cell r="AL1471" t="str">
            <v>秋津取水口</v>
          </cell>
          <cell r="AN1471">
            <v>8.5</v>
          </cell>
          <cell r="AO1471" t="str">
            <v>加東市</v>
          </cell>
          <cell r="AQ1471" t="str">
            <v/>
          </cell>
          <cell r="AR1471" t="str">
            <v>オキシディションディッチ法</v>
          </cell>
          <cell r="AS1471" t="str">
            <v>2822102006</v>
          </cell>
          <cell r="AT1471" t="str">
            <v/>
          </cell>
          <cell r="AU1471" t="str">
            <v>10</v>
          </cell>
          <cell r="AV1471" t="str">
            <v>10</v>
          </cell>
          <cell r="AW1471">
            <v>0</v>
          </cell>
          <cell r="AX1471">
            <v>0</v>
          </cell>
          <cell r="AY1471">
            <v>0</v>
          </cell>
          <cell r="AZ1471">
            <v>0</v>
          </cell>
          <cell r="BA1471">
            <v>0</v>
          </cell>
          <cell r="BD1471" t="str">
            <v/>
          </cell>
          <cell r="BE1471">
            <v>1</v>
          </cell>
          <cell r="BG1471" t="str">
            <v>1100</v>
          </cell>
        </row>
        <row r="1472">
          <cell r="B1472" t="str">
            <v>G282210206100700</v>
          </cell>
          <cell r="C1472" t="str">
            <v>28.兵庫県</v>
          </cell>
          <cell r="D1472" t="str">
            <v>221</v>
          </cell>
          <cell r="E1472" t="str">
            <v>篠山市</v>
          </cell>
          <cell r="F1472" t="str">
            <v>02</v>
          </cell>
          <cell r="G1472" t="str">
            <v>特環 単独</v>
          </cell>
          <cell r="H1472" t="str">
            <v>特定環境保全公共下水道</v>
          </cell>
          <cell r="I1472" t="str">
            <v>単独</v>
          </cell>
          <cell r="J1472" t="str">
            <v>007</v>
          </cell>
          <cell r="K1472" t="str">
            <v>福住浄化センター</v>
          </cell>
          <cell r="M1472" t="str">
            <v>1</v>
          </cell>
          <cell r="N1472" t="str">
            <v>1</v>
          </cell>
          <cell r="Q1472">
            <v>36923</v>
          </cell>
          <cell r="R1472" t="str">
            <v>平成</v>
          </cell>
          <cell r="S1472">
            <v>13</v>
          </cell>
          <cell r="T1472">
            <v>2</v>
          </cell>
          <cell r="AB1472">
            <v>5714</v>
          </cell>
          <cell r="AC1472" t="str">
            <v>加古川上流</v>
          </cell>
          <cell r="AD1472" t="str">
            <v>Ａ</v>
          </cell>
          <cell r="AE1472" t="str">
            <v>イ</v>
          </cell>
          <cell r="AF1472">
            <v>15</v>
          </cell>
          <cell r="AK1472" t="str">
            <v>籾井川</v>
          </cell>
          <cell r="AL1472" t="str">
            <v>向井水源</v>
          </cell>
          <cell r="AN1472">
            <v>3.5</v>
          </cell>
          <cell r="AO1472" t="str">
            <v>篠山市</v>
          </cell>
          <cell r="AQ1472" t="str">
            <v/>
          </cell>
          <cell r="AR1472" t="str">
            <v>オキシディションディッチ法</v>
          </cell>
          <cell r="AS1472" t="str">
            <v>2822102007</v>
          </cell>
          <cell r="AT1472" t="str">
            <v/>
          </cell>
          <cell r="AU1472" t="str">
            <v>10</v>
          </cell>
          <cell r="AV1472" t="str">
            <v>10</v>
          </cell>
          <cell r="AW1472">
            <v>0</v>
          </cell>
          <cell r="AX1472">
            <v>0</v>
          </cell>
          <cell r="AY1472">
            <v>0</v>
          </cell>
          <cell r="AZ1472">
            <v>0</v>
          </cell>
          <cell r="BA1472">
            <v>0</v>
          </cell>
          <cell r="BD1472" t="str">
            <v/>
          </cell>
          <cell r="BE1472">
            <v>1</v>
          </cell>
          <cell r="BG1472" t="str">
            <v>1100</v>
          </cell>
        </row>
        <row r="1473">
          <cell r="B1473" t="str">
            <v>G282210206100800</v>
          </cell>
          <cell r="C1473" t="str">
            <v>28.兵庫県</v>
          </cell>
          <cell r="D1473" t="str">
            <v>221</v>
          </cell>
          <cell r="E1473" t="str">
            <v>篠山市</v>
          </cell>
          <cell r="F1473" t="str">
            <v>02</v>
          </cell>
          <cell r="G1473" t="str">
            <v>特環 単独</v>
          </cell>
          <cell r="H1473" t="str">
            <v>特定環境保全公共下水道</v>
          </cell>
          <cell r="I1473" t="str">
            <v>単独</v>
          </cell>
          <cell r="J1473" t="str">
            <v>008</v>
          </cell>
          <cell r="K1473" t="str">
            <v>大山浄化センター</v>
          </cell>
          <cell r="M1473" t="str">
            <v>1</v>
          </cell>
          <cell r="N1473" t="str">
            <v>1</v>
          </cell>
          <cell r="Q1473">
            <v>37681</v>
          </cell>
          <cell r="R1473" t="str">
            <v>平成</v>
          </cell>
          <cell r="S1473">
            <v>15</v>
          </cell>
          <cell r="T1473">
            <v>3</v>
          </cell>
          <cell r="AB1473">
            <v>6616</v>
          </cell>
          <cell r="AC1473" t="str">
            <v>加古川上流</v>
          </cell>
          <cell r="AD1473" t="str">
            <v>Ａ</v>
          </cell>
          <cell r="AE1473" t="str">
            <v>イ</v>
          </cell>
          <cell r="AF1473">
            <v>9</v>
          </cell>
          <cell r="AG1473">
            <v>10</v>
          </cell>
          <cell r="AH1473">
            <v>0.5</v>
          </cell>
          <cell r="AK1473" t="str">
            <v>篠山川</v>
          </cell>
          <cell r="AL1473" t="str">
            <v>大山取水ポンプ</v>
          </cell>
          <cell r="AM1473">
            <v>0.5</v>
          </cell>
          <cell r="AO1473" t="str">
            <v>篠山市</v>
          </cell>
          <cell r="AQ1473" t="str">
            <v/>
          </cell>
          <cell r="AR1473" t="str">
            <v>高度処理オキシディションディッチ法</v>
          </cell>
          <cell r="AS1473" t="str">
            <v>2822102008</v>
          </cell>
          <cell r="AT1473" t="str">
            <v/>
          </cell>
          <cell r="AU1473" t="str">
            <v>10</v>
          </cell>
          <cell r="AV1473" t="str">
            <v>10</v>
          </cell>
          <cell r="AW1473">
            <v>0</v>
          </cell>
          <cell r="AX1473">
            <v>0</v>
          </cell>
          <cell r="AY1473">
            <v>0</v>
          </cell>
          <cell r="AZ1473">
            <v>0</v>
          </cell>
          <cell r="BA1473">
            <v>0</v>
          </cell>
          <cell r="BD1473" t="str">
            <v/>
          </cell>
          <cell r="BE1473">
            <v>1</v>
          </cell>
          <cell r="BG1473" t="str">
            <v>1100</v>
          </cell>
        </row>
        <row r="1474">
          <cell r="B1474" t="str">
            <v>G282210206100900</v>
          </cell>
          <cell r="C1474" t="str">
            <v>28.兵庫県</v>
          </cell>
          <cell r="D1474" t="str">
            <v>221</v>
          </cell>
          <cell r="E1474" t="str">
            <v>篠山市</v>
          </cell>
          <cell r="F1474" t="str">
            <v>02</v>
          </cell>
          <cell r="G1474" t="str">
            <v>特環 単独</v>
          </cell>
          <cell r="H1474" t="str">
            <v>特定環境保全公共下水道</v>
          </cell>
          <cell r="I1474" t="str">
            <v>単独</v>
          </cell>
          <cell r="J1474" t="str">
            <v>009</v>
          </cell>
          <cell r="K1474" t="str">
            <v>西部浄化センター</v>
          </cell>
          <cell r="M1474" t="str">
            <v>1</v>
          </cell>
          <cell r="N1474" t="str">
            <v>1</v>
          </cell>
          <cell r="Q1474">
            <v>37681</v>
          </cell>
          <cell r="R1474" t="str">
            <v>平成</v>
          </cell>
          <cell r="S1474">
            <v>15</v>
          </cell>
          <cell r="T1474">
            <v>3</v>
          </cell>
          <cell r="AB1474">
            <v>7452</v>
          </cell>
          <cell r="AC1474" t="str">
            <v>加古川上流</v>
          </cell>
          <cell r="AD1474" t="str">
            <v>Ａ</v>
          </cell>
          <cell r="AE1474" t="str">
            <v>イ</v>
          </cell>
          <cell r="AF1474">
            <v>15</v>
          </cell>
          <cell r="AK1474" t="str">
            <v>東条川</v>
          </cell>
          <cell r="AL1474" t="str">
            <v>秋津取水口</v>
          </cell>
          <cell r="AN1474">
            <v>12.1</v>
          </cell>
          <cell r="AO1474" t="str">
            <v>加東市</v>
          </cell>
          <cell r="AQ1474" t="str">
            <v/>
          </cell>
          <cell r="AR1474" t="str">
            <v>オキシディションディッチ法</v>
          </cell>
          <cell r="AS1474" t="str">
            <v>2822102009</v>
          </cell>
          <cell r="AT1474" t="str">
            <v/>
          </cell>
          <cell r="AU1474" t="str">
            <v>10</v>
          </cell>
          <cell r="AV1474" t="str">
            <v>10</v>
          </cell>
          <cell r="AW1474">
            <v>0</v>
          </cell>
          <cell r="AX1474">
            <v>0</v>
          </cell>
          <cell r="AY1474">
            <v>0</v>
          </cell>
          <cell r="AZ1474">
            <v>0</v>
          </cell>
          <cell r="BA1474">
            <v>0</v>
          </cell>
          <cell r="BD1474" t="str">
            <v/>
          </cell>
          <cell r="BE1474">
            <v>1</v>
          </cell>
          <cell r="BG1474" t="str">
            <v>1100</v>
          </cell>
        </row>
        <row r="1475">
          <cell r="B1475" t="str">
            <v>G282210206101000</v>
          </cell>
          <cell r="C1475" t="str">
            <v>28.兵庫県</v>
          </cell>
          <cell r="D1475" t="str">
            <v>221</v>
          </cell>
          <cell r="E1475" t="str">
            <v>篠山市</v>
          </cell>
          <cell r="F1475" t="str">
            <v>02</v>
          </cell>
          <cell r="G1475" t="str">
            <v>特環 単独</v>
          </cell>
          <cell r="H1475" t="str">
            <v>特定環境保全公共下水道</v>
          </cell>
          <cell r="I1475" t="str">
            <v>単独</v>
          </cell>
          <cell r="J1475" t="str">
            <v>010</v>
          </cell>
          <cell r="K1475" t="str">
            <v>日置浄化センター</v>
          </cell>
          <cell r="M1475" t="str">
            <v>1</v>
          </cell>
          <cell r="N1475" t="str">
            <v>1</v>
          </cell>
          <cell r="Q1475">
            <v>38047</v>
          </cell>
          <cell r="R1475" t="str">
            <v>平成</v>
          </cell>
          <cell r="S1475">
            <v>16</v>
          </cell>
          <cell r="T1475">
            <v>3</v>
          </cell>
          <cell r="AB1475">
            <v>4469</v>
          </cell>
          <cell r="AC1475" t="str">
            <v>加古川上流</v>
          </cell>
          <cell r="AD1475" t="str">
            <v>Ａ</v>
          </cell>
          <cell r="AE1475" t="str">
            <v>イ</v>
          </cell>
          <cell r="AF1475">
            <v>9</v>
          </cell>
          <cell r="AG1475">
            <v>10</v>
          </cell>
          <cell r="AH1475">
            <v>0.5</v>
          </cell>
          <cell r="AK1475" t="str">
            <v>篠山川</v>
          </cell>
          <cell r="AL1475" t="str">
            <v>北嶋浄水場</v>
          </cell>
          <cell r="AM1475">
            <v>4.5</v>
          </cell>
          <cell r="AO1475" t="str">
            <v>篠山市</v>
          </cell>
          <cell r="AQ1475" t="str">
            <v/>
          </cell>
          <cell r="AR1475" t="str">
            <v>オキシディションディッチ法</v>
          </cell>
          <cell r="AS1475" t="str">
            <v>2822102010</v>
          </cell>
          <cell r="AT1475" t="str">
            <v/>
          </cell>
          <cell r="AU1475" t="str">
            <v>10</v>
          </cell>
          <cell r="AV1475" t="str">
            <v>10</v>
          </cell>
          <cell r="AW1475">
            <v>0</v>
          </cell>
          <cell r="AX1475">
            <v>0</v>
          </cell>
          <cell r="AY1475">
            <v>0</v>
          </cell>
          <cell r="AZ1475">
            <v>0</v>
          </cell>
          <cell r="BA1475">
            <v>0</v>
          </cell>
          <cell r="BD1475" t="str">
            <v/>
          </cell>
          <cell r="BE1475">
            <v>1</v>
          </cell>
          <cell r="BG1475" t="str">
            <v>1100</v>
          </cell>
        </row>
        <row r="1476">
          <cell r="B1476" t="str">
            <v>G282220106100100</v>
          </cell>
          <cell r="C1476" t="str">
            <v>28.兵庫県</v>
          </cell>
          <cell r="D1476" t="str">
            <v>222</v>
          </cell>
          <cell r="E1476" t="str">
            <v>養父市</v>
          </cell>
          <cell r="F1476" t="str">
            <v>01</v>
          </cell>
          <cell r="G1476" t="str">
            <v>公共 単独</v>
          </cell>
          <cell r="H1476" t="str">
            <v>公共下水道</v>
          </cell>
          <cell r="I1476" t="str">
            <v>単独</v>
          </cell>
          <cell r="J1476" t="str">
            <v>001</v>
          </cell>
          <cell r="K1476" t="str">
            <v>八鹿浄化センター</v>
          </cell>
          <cell r="M1476" t="str">
            <v>1</v>
          </cell>
          <cell r="N1476" t="str">
            <v>1</v>
          </cell>
          <cell r="Q1476">
            <v>35789</v>
          </cell>
          <cell r="R1476" t="str">
            <v>平成</v>
          </cell>
          <cell r="S1476">
            <v>9</v>
          </cell>
          <cell r="T1476">
            <v>12</v>
          </cell>
          <cell r="AB1476">
            <v>7800</v>
          </cell>
          <cell r="AC1476" t="str">
            <v>円山川上流</v>
          </cell>
          <cell r="AD1476" t="str">
            <v>Ａ</v>
          </cell>
          <cell r="AE1476" t="str">
            <v>ロ</v>
          </cell>
          <cell r="AF1476">
            <v>15</v>
          </cell>
          <cell r="AK1476" t="str">
            <v>円山川</v>
          </cell>
          <cell r="AL1476" t="str">
            <v>大森第2水源池</v>
          </cell>
          <cell r="AM1476">
            <v>0.4</v>
          </cell>
          <cell r="AO1476" t="str">
            <v>養父市</v>
          </cell>
          <cell r="AQ1476" t="str">
            <v/>
          </cell>
          <cell r="AR1476" t="str">
            <v>回分式活性汚泥法</v>
          </cell>
          <cell r="AS1476" t="str">
            <v>2822201001</v>
          </cell>
          <cell r="AT1476" t="str">
            <v/>
          </cell>
          <cell r="AU1476" t="str">
            <v>10</v>
          </cell>
          <cell r="AV1476" t="str">
            <v>10</v>
          </cell>
          <cell r="AW1476">
            <v>0</v>
          </cell>
          <cell r="AX1476">
            <v>0</v>
          </cell>
          <cell r="AY1476">
            <v>0</v>
          </cell>
          <cell r="AZ1476">
            <v>0</v>
          </cell>
          <cell r="BA1476">
            <v>0</v>
          </cell>
          <cell r="BD1476" t="str">
            <v/>
          </cell>
          <cell r="BE1476">
            <v>1</v>
          </cell>
          <cell r="BG1476" t="str">
            <v>1100</v>
          </cell>
        </row>
        <row r="1477">
          <cell r="B1477" t="str">
            <v>G282220206100200</v>
          </cell>
          <cell r="C1477" t="str">
            <v>28.兵庫県</v>
          </cell>
          <cell r="D1477" t="str">
            <v>222</v>
          </cell>
          <cell r="E1477" t="str">
            <v>養父市</v>
          </cell>
          <cell r="F1477" t="str">
            <v>02</v>
          </cell>
          <cell r="G1477" t="str">
            <v>特環 単独</v>
          </cell>
          <cell r="H1477" t="str">
            <v>特定環境保全公共下水道</v>
          </cell>
          <cell r="I1477" t="str">
            <v>単独</v>
          </cell>
          <cell r="J1477" t="str">
            <v>002</v>
          </cell>
          <cell r="K1477" t="str">
            <v>ハチ高原浄化センター</v>
          </cell>
          <cell r="M1477" t="str">
            <v>1</v>
          </cell>
          <cell r="N1477" t="str">
            <v>1</v>
          </cell>
          <cell r="Q1477">
            <v>34907</v>
          </cell>
          <cell r="R1477" t="str">
            <v>平成</v>
          </cell>
          <cell r="S1477">
            <v>7</v>
          </cell>
          <cell r="T1477">
            <v>7</v>
          </cell>
          <cell r="AB1477">
            <v>1700</v>
          </cell>
          <cell r="AC1477" t="str">
            <v>円山川上流</v>
          </cell>
          <cell r="AD1477" t="str">
            <v>Ａ</v>
          </cell>
          <cell r="AE1477" t="str">
            <v>ロ</v>
          </cell>
          <cell r="AF1477">
            <v>15</v>
          </cell>
          <cell r="AI1477" t="str">
            <v>丹戸川</v>
          </cell>
          <cell r="AK1477" t="str">
            <v>八木川</v>
          </cell>
          <cell r="AL1477" t="str">
            <v>丹戸水源地</v>
          </cell>
          <cell r="AN1477">
            <v>1</v>
          </cell>
          <cell r="AO1477" t="str">
            <v>養父市</v>
          </cell>
          <cell r="AQ1477" t="str">
            <v/>
          </cell>
          <cell r="AR1477" t="str">
            <v>回分式活性汚泥法</v>
          </cell>
          <cell r="AS1477" t="str">
            <v>2822202002</v>
          </cell>
          <cell r="AT1477" t="str">
            <v/>
          </cell>
          <cell r="AU1477" t="str">
            <v>10</v>
          </cell>
          <cell r="AV1477" t="str">
            <v>10</v>
          </cell>
          <cell r="AW1477">
            <v>0</v>
          </cell>
          <cell r="AX1477">
            <v>0</v>
          </cell>
          <cell r="AY1477">
            <v>0</v>
          </cell>
          <cell r="AZ1477">
            <v>0</v>
          </cell>
          <cell r="BA1477">
            <v>0</v>
          </cell>
          <cell r="BD1477" t="str">
            <v/>
          </cell>
          <cell r="BE1477">
            <v>1</v>
          </cell>
          <cell r="BG1477" t="str">
            <v>1100</v>
          </cell>
        </row>
        <row r="1478">
          <cell r="B1478" t="str">
            <v>G282220206100300</v>
          </cell>
          <cell r="C1478" t="str">
            <v>28.兵庫県</v>
          </cell>
          <cell r="D1478" t="str">
            <v>222</v>
          </cell>
          <cell r="E1478" t="str">
            <v>養父市</v>
          </cell>
          <cell r="F1478" t="str">
            <v>02</v>
          </cell>
          <cell r="G1478" t="str">
            <v>特環 単独</v>
          </cell>
          <cell r="H1478" t="str">
            <v>特定環境保全公共下水道</v>
          </cell>
          <cell r="I1478" t="str">
            <v>単独</v>
          </cell>
          <cell r="J1478" t="str">
            <v>003</v>
          </cell>
          <cell r="K1478" t="str">
            <v>大屋浄化センター</v>
          </cell>
          <cell r="M1478" t="str">
            <v>1</v>
          </cell>
          <cell r="N1478" t="str">
            <v>1</v>
          </cell>
          <cell r="Q1478">
            <v>35247</v>
          </cell>
          <cell r="R1478" t="str">
            <v>平成</v>
          </cell>
          <cell r="S1478">
            <v>8</v>
          </cell>
          <cell r="T1478">
            <v>7</v>
          </cell>
          <cell r="AB1478">
            <v>2722</v>
          </cell>
          <cell r="AC1478" t="str">
            <v>円山川上流</v>
          </cell>
          <cell r="AD1478" t="str">
            <v>Ａ</v>
          </cell>
          <cell r="AE1478" t="str">
            <v>ロ</v>
          </cell>
          <cell r="AF1478">
            <v>5</v>
          </cell>
          <cell r="AK1478" t="str">
            <v>大屋川</v>
          </cell>
          <cell r="AL1478" t="str">
            <v>加保浄水場</v>
          </cell>
          <cell r="AM1478">
            <v>0.5</v>
          </cell>
          <cell r="AO1478" t="str">
            <v>養父市</v>
          </cell>
          <cell r="AQ1478" t="str">
            <v/>
          </cell>
          <cell r="AR1478" t="str">
            <v>オキシディションディッチ法</v>
          </cell>
          <cell r="AS1478" t="str">
            <v>2822202003</v>
          </cell>
          <cell r="AT1478" t="str">
            <v/>
          </cell>
          <cell r="AU1478" t="str">
            <v>10</v>
          </cell>
          <cell r="AV1478" t="str">
            <v>10</v>
          </cell>
          <cell r="AW1478">
            <v>0</v>
          </cell>
          <cell r="AX1478">
            <v>0</v>
          </cell>
          <cell r="AY1478">
            <v>0</v>
          </cell>
          <cell r="AZ1478">
            <v>0</v>
          </cell>
          <cell r="BA1478">
            <v>0</v>
          </cell>
          <cell r="BD1478" t="str">
            <v/>
          </cell>
          <cell r="BE1478">
            <v>1</v>
          </cell>
          <cell r="BG1478" t="str">
            <v>1100</v>
          </cell>
        </row>
        <row r="1479">
          <cell r="B1479" t="str">
            <v>G282220206100400</v>
          </cell>
          <cell r="C1479" t="str">
            <v>28.兵庫県</v>
          </cell>
          <cell r="D1479" t="str">
            <v>222</v>
          </cell>
          <cell r="E1479" t="str">
            <v>養父市</v>
          </cell>
          <cell r="F1479" t="str">
            <v>02</v>
          </cell>
          <cell r="G1479" t="str">
            <v>特環 単独</v>
          </cell>
          <cell r="H1479" t="str">
            <v>特定環境保全公共下水道</v>
          </cell>
          <cell r="I1479" t="str">
            <v>単独</v>
          </cell>
          <cell r="J1479" t="str">
            <v>004</v>
          </cell>
          <cell r="K1479" t="str">
            <v>関宮中部浄化センター</v>
          </cell>
          <cell r="M1479" t="str">
            <v>1</v>
          </cell>
          <cell r="N1479" t="str">
            <v>1</v>
          </cell>
          <cell r="Q1479">
            <v>35999</v>
          </cell>
          <cell r="R1479" t="str">
            <v>平成</v>
          </cell>
          <cell r="S1479">
            <v>10</v>
          </cell>
          <cell r="T1479">
            <v>7</v>
          </cell>
          <cell r="AB1479">
            <v>4800</v>
          </cell>
          <cell r="AC1479" t="str">
            <v>円山川上流</v>
          </cell>
          <cell r="AD1479" t="str">
            <v>Ａ</v>
          </cell>
          <cell r="AE1479" t="str">
            <v>ロ</v>
          </cell>
          <cell r="AF1479">
            <v>15</v>
          </cell>
          <cell r="AK1479" t="str">
            <v>八木川</v>
          </cell>
          <cell r="AL1479" t="str">
            <v>中部魚留水源地</v>
          </cell>
          <cell r="AM1479">
            <v>2</v>
          </cell>
          <cell r="AO1479" t="str">
            <v>養父市</v>
          </cell>
          <cell r="AQ1479" t="str">
            <v/>
          </cell>
          <cell r="AR1479" t="str">
            <v>オキシディションディッチ法</v>
          </cell>
          <cell r="AS1479" t="str">
            <v>2822202004</v>
          </cell>
          <cell r="AT1479" t="str">
            <v/>
          </cell>
          <cell r="AU1479" t="str">
            <v>10</v>
          </cell>
          <cell r="AV1479" t="str">
            <v>10</v>
          </cell>
          <cell r="AW1479">
            <v>0</v>
          </cell>
          <cell r="AX1479">
            <v>0</v>
          </cell>
          <cell r="AY1479">
            <v>0</v>
          </cell>
          <cell r="AZ1479">
            <v>0</v>
          </cell>
          <cell r="BA1479">
            <v>0</v>
          </cell>
          <cell r="BD1479" t="str">
            <v/>
          </cell>
          <cell r="BE1479">
            <v>1</v>
          </cell>
          <cell r="BG1479" t="str">
            <v>1100</v>
          </cell>
        </row>
        <row r="1480">
          <cell r="B1480" t="str">
            <v>G282220206100500</v>
          </cell>
          <cell r="C1480" t="str">
            <v>28.兵庫県</v>
          </cell>
          <cell r="D1480" t="str">
            <v>222</v>
          </cell>
          <cell r="E1480" t="str">
            <v>養父市</v>
          </cell>
          <cell r="F1480" t="str">
            <v>02</v>
          </cell>
          <cell r="G1480" t="str">
            <v>特環 単独</v>
          </cell>
          <cell r="H1480" t="str">
            <v>特定環境保全公共下水道</v>
          </cell>
          <cell r="I1480" t="str">
            <v>単独</v>
          </cell>
          <cell r="J1480" t="str">
            <v>005</v>
          </cell>
          <cell r="K1480" t="str">
            <v>養父中央浄化センター</v>
          </cell>
          <cell r="M1480" t="str">
            <v>1</v>
          </cell>
          <cell r="N1480" t="str">
            <v>1</v>
          </cell>
          <cell r="Q1480">
            <v>36074</v>
          </cell>
          <cell r="R1480" t="str">
            <v>平成</v>
          </cell>
          <cell r="S1480">
            <v>10</v>
          </cell>
          <cell r="T1480">
            <v>10</v>
          </cell>
          <cell r="AB1480">
            <v>8500</v>
          </cell>
          <cell r="AC1480" t="str">
            <v>円山川上流</v>
          </cell>
          <cell r="AD1480" t="str">
            <v>Ａ</v>
          </cell>
          <cell r="AE1480" t="str">
            <v>ロ</v>
          </cell>
          <cell r="AF1480">
            <v>15</v>
          </cell>
          <cell r="AK1480" t="str">
            <v>大屋川</v>
          </cell>
          <cell r="AL1480" t="str">
            <v>上薮崎水源地</v>
          </cell>
          <cell r="AM1480">
            <v>0.3</v>
          </cell>
          <cell r="AO1480" t="str">
            <v>養父市</v>
          </cell>
          <cell r="AQ1480" t="str">
            <v/>
          </cell>
          <cell r="AR1480" t="str">
            <v>オキシディションディッチ法</v>
          </cell>
          <cell r="AS1480" t="str">
            <v>2822202005</v>
          </cell>
          <cell r="AT1480" t="str">
            <v/>
          </cell>
          <cell r="AU1480" t="str">
            <v>10</v>
          </cell>
          <cell r="AV1480" t="str">
            <v>10</v>
          </cell>
          <cell r="AW1480">
            <v>0</v>
          </cell>
          <cell r="AX1480">
            <v>0</v>
          </cell>
          <cell r="AY1480">
            <v>0</v>
          </cell>
          <cell r="AZ1480">
            <v>0</v>
          </cell>
          <cell r="BA1480">
            <v>0</v>
          </cell>
          <cell r="BD1480" t="str">
            <v/>
          </cell>
          <cell r="BE1480">
            <v>1</v>
          </cell>
          <cell r="BG1480" t="str">
            <v>1100</v>
          </cell>
        </row>
        <row r="1481">
          <cell r="B1481" t="str">
            <v>G282220206100600</v>
          </cell>
          <cell r="C1481" t="str">
            <v>28.兵庫県</v>
          </cell>
          <cell r="D1481" t="str">
            <v>222</v>
          </cell>
          <cell r="E1481" t="str">
            <v>養父市</v>
          </cell>
          <cell r="F1481" t="str">
            <v>02</v>
          </cell>
          <cell r="G1481" t="str">
            <v>特環 単独</v>
          </cell>
          <cell r="H1481" t="str">
            <v>特定環境保全公共下水道</v>
          </cell>
          <cell r="I1481" t="str">
            <v>単独</v>
          </cell>
          <cell r="J1481" t="str">
            <v>006</v>
          </cell>
          <cell r="K1481" t="str">
            <v>口大屋浄化センター</v>
          </cell>
          <cell r="M1481" t="str">
            <v>1</v>
          </cell>
          <cell r="N1481" t="str">
            <v>1</v>
          </cell>
          <cell r="Q1481">
            <v>36434</v>
          </cell>
          <cell r="R1481" t="str">
            <v>平成</v>
          </cell>
          <cell r="S1481">
            <v>11</v>
          </cell>
          <cell r="T1481">
            <v>10</v>
          </cell>
          <cell r="AB1481">
            <v>4600</v>
          </cell>
          <cell r="AC1481" t="str">
            <v>円山川上流</v>
          </cell>
          <cell r="AD1481" t="str">
            <v>Ａ</v>
          </cell>
          <cell r="AE1481" t="str">
            <v>ロ</v>
          </cell>
          <cell r="AF1481">
            <v>15</v>
          </cell>
          <cell r="AK1481" t="str">
            <v>大屋川</v>
          </cell>
          <cell r="AL1481" t="str">
            <v>おうみ浄水場</v>
          </cell>
          <cell r="AM1481">
            <v>1</v>
          </cell>
          <cell r="AO1481" t="str">
            <v>養父市</v>
          </cell>
          <cell r="AQ1481" t="str">
            <v/>
          </cell>
          <cell r="AR1481" t="str">
            <v>オキシディションディッチ法</v>
          </cell>
          <cell r="AS1481" t="str">
            <v>2822202006</v>
          </cell>
          <cell r="AT1481" t="str">
            <v/>
          </cell>
          <cell r="AU1481" t="str">
            <v>10</v>
          </cell>
          <cell r="AV1481" t="str">
            <v>10</v>
          </cell>
          <cell r="AW1481">
            <v>0</v>
          </cell>
          <cell r="AX1481">
            <v>0</v>
          </cell>
          <cell r="AY1481">
            <v>0</v>
          </cell>
          <cell r="AZ1481">
            <v>0</v>
          </cell>
          <cell r="BA1481">
            <v>0</v>
          </cell>
          <cell r="BD1481" t="str">
            <v/>
          </cell>
          <cell r="BE1481">
            <v>1</v>
          </cell>
          <cell r="BG1481" t="str">
            <v>1100</v>
          </cell>
        </row>
        <row r="1482">
          <cell r="B1482" t="str">
            <v>G282220206100700</v>
          </cell>
          <cell r="C1482" t="str">
            <v>28.兵庫県</v>
          </cell>
          <cell r="D1482" t="str">
            <v>222</v>
          </cell>
          <cell r="E1482" t="str">
            <v>養父市</v>
          </cell>
          <cell r="F1482" t="str">
            <v>02</v>
          </cell>
          <cell r="G1482" t="str">
            <v>特環 単独</v>
          </cell>
          <cell r="H1482" t="str">
            <v>特定環境保全公共下水道</v>
          </cell>
          <cell r="I1482" t="str">
            <v>単独</v>
          </cell>
          <cell r="J1482" t="str">
            <v>007</v>
          </cell>
          <cell r="K1482" t="str">
            <v>高柳浄化センター</v>
          </cell>
          <cell r="M1482" t="str">
            <v>1</v>
          </cell>
          <cell r="N1482" t="str">
            <v>1</v>
          </cell>
          <cell r="Q1482">
            <v>36617</v>
          </cell>
          <cell r="R1482" t="str">
            <v>平成</v>
          </cell>
          <cell r="S1482">
            <v>12</v>
          </cell>
          <cell r="T1482">
            <v>4</v>
          </cell>
          <cell r="AB1482">
            <v>3000</v>
          </cell>
          <cell r="AC1482" t="str">
            <v>円山川上流</v>
          </cell>
          <cell r="AD1482" t="str">
            <v>Ａ</v>
          </cell>
          <cell r="AE1482" t="str">
            <v>ロ</v>
          </cell>
          <cell r="AF1482">
            <v>15</v>
          </cell>
          <cell r="AK1482" t="str">
            <v>八木川</v>
          </cell>
          <cell r="AL1482" t="str">
            <v>上網場第1水源地</v>
          </cell>
          <cell r="AN1482">
            <v>4</v>
          </cell>
          <cell r="AO1482" t="str">
            <v>養父市</v>
          </cell>
          <cell r="AQ1482" t="str">
            <v/>
          </cell>
          <cell r="AR1482" t="str">
            <v>オキシディションディッチ法</v>
          </cell>
          <cell r="AS1482" t="str">
            <v>2822202007</v>
          </cell>
          <cell r="AT1482" t="str">
            <v/>
          </cell>
          <cell r="AU1482" t="str">
            <v>10</v>
          </cell>
          <cell r="AV1482" t="str">
            <v>10</v>
          </cell>
          <cell r="AW1482">
            <v>0</v>
          </cell>
          <cell r="AX1482">
            <v>0</v>
          </cell>
          <cell r="AY1482">
            <v>0</v>
          </cell>
          <cell r="AZ1482">
            <v>0</v>
          </cell>
          <cell r="BA1482">
            <v>0</v>
          </cell>
          <cell r="BD1482" t="str">
            <v/>
          </cell>
          <cell r="BE1482">
            <v>1</v>
          </cell>
          <cell r="BG1482" t="str">
            <v>1100</v>
          </cell>
        </row>
        <row r="1483">
          <cell r="B1483" t="str">
            <v>G282220206100800</v>
          </cell>
          <cell r="C1483" t="str">
            <v>28.兵庫県</v>
          </cell>
          <cell r="D1483" t="str">
            <v>222</v>
          </cell>
          <cell r="E1483" t="str">
            <v>養父市</v>
          </cell>
          <cell r="F1483" t="str">
            <v>02</v>
          </cell>
          <cell r="G1483" t="str">
            <v>特環 単独</v>
          </cell>
          <cell r="H1483" t="str">
            <v>特定環境保全公共下水道</v>
          </cell>
          <cell r="I1483" t="str">
            <v>単独</v>
          </cell>
          <cell r="J1483" t="str">
            <v>008</v>
          </cell>
          <cell r="K1483" t="str">
            <v>別宮浄化センター</v>
          </cell>
          <cell r="M1483" t="str">
            <v>1</v>
          </cell>
          <cell r="N1483" t="str">
            <v>1</v>
          </cell>
          <cell r="Q1483">
            <v>36845</v>
          </cell>
          <cell r="R1483" t="str">
            <v>平成</v>
          </cell>
          <cell r="S1483">
            <v>12</v>
          </cell>
          <cell r="T1483">
            <v>11</v>
          </cell>
          <cell r="AB1483">
            <v>3000</v>
          </cell>
          <cell r="AC1483" t="str">
            <v>円山川上流</v>
          </cell>
          <cell r="AD1483" t="str">
            <v>Ａ</v>
          </cell>
          <cell r="AE1483" t="str">
            <v>ロ</v>
          </cell>
          <cell r="AF1483">
            <v>15</v>
          </cell>
          <cell r="AI1483" t="str">
            <v>別宮川</v>
          </cell>
          <cell r="AK1483" t="str">
            <v>八木川</v>
          </cell>
          <cell r="AL1483" t="str">
            <v>別宮水源地</v>
          </cell>
          <cell r="AM1483">
            <v>0.4</v>
          </cell>
          <cell r="AO1483" t="str">
            <v>養父市</v>
          </cell>
          <cell r="AQ1483" t="str">
            <v/>
          </cell>
          <cell r="AR1483" t="str">
            <v>回分式活性汚泥法</v>
          </cell>
          <cell r="AS1483" t="str">
            <v>2822202008</v>
          </cell>
          <cell r="AT1483" t="str">
            <v/>
          </cell>
          <cell r="AU1483" t="str">
            <v>10</v>
          </cell>
          <cell r="AV1483" t="str">
            <v>10</v>
          </cell>
          <cell r="AW1483">
            <v>0</v>
          </cell>
          <cell r="AX1483">
            <v>0</v>
          </cell>
          <cell r="AY1483">
            <v>0</v>
          </cell>
          <cell r="AZ1483">
            <v>0</v>
          </cell>
          <cell r="BA1483">
            <v>0</v>
          </cell>
          <cell r="BD1483" t="str">
            <v/>
          </cell>
          <cell r="BE1483">
            <v>1</v>
          </cell>
          <cell r="BG1483" t="str">
            <v>1100</v>
          </cell>
        </row>
        <row r="1484">
          <cell r="B1484" t="str">
            <v>G282220206100900</v>
          </cell>
          <cell r="C1484" t="str">
            <v>28.兵庫県</v>
          </cell>
          <cell r="D1484" t="str">
            <v>222</v>
          </cell>
          <cell r="E1484" t="str">
            <v>養父市</v>
          </cell>
          <cell r="F1484" t="str">
            <v>02</v>
          </cell>
          <cell r="G1484" t="str">
            <v>特環 単独</v>
          </cell>
          <cell r="H1484" t="str">
            <v>特定環境保全公共下水道</v>
          </cell>
          <cell r="I1484" t="str">
            <v>単独</v>
          </cell>
          <cell r="J1484" t="str">
            <v>009</v>
          </cell>
          <cell r="K1484" t="str">
            <v>熊次浄化センター</v>
          </cell>
          <cell r="M1484" t="str">
            <v>1</v>
          </cell>
          <cell r="N1484" t="str">
            <v>1</v>
          </cell>
          <cell r="Q1484">
            <v>38345</v>
          </cell>
          <cell r="R1484" t="str">
            <v>平成</v>
          </cell>
          <cell r="S1484">
            <v>16</v>
          </cell>
          <cell r="T1484">
            <v>12</v>
          </cell>
          <cell r="AB1484">
            <v>3000</v>
          </cell>
          <cell r="AC1484" t="str">
            <v>円山川上流</v>
          </cell>
          <cell r="AD1484" t="str">
            <v>Ａ</v>
          </cell>
          <cell r="AE1484" t="str">
            <v>ロ</v>
          </cell>
          <cell r="AF1484">
            <v>15</v>
          </cell>
          <cell r="AK1484" t="str">
            <v>八木川</v>
          </cell>
          <cell r="AL1484" t="str">
            <v>丹戸水源地</v>
          </cell>
          <cell r="AN1484">
            <v>1.5</v>
          </cell>
          <cell r="AO1484" t="str">
            <v>養父市</v>
          </cell>
          <cell r="AQ1484" t="str">
            <v/>
          </cell>
          <cell r="AR1484" t="str">
            <v>回分式活性汚泥法</v>
          </cell>
          <cell r="AS1484" t="str">
            <v>2822202009</v>
          </cell>
          <cell r="AT1484" t="str">
            <v/>
          </cell>
          <cell r="AU1484" t="str">
            <v>10</v>
          </cell>
          <cell r="AV1484" t="str">
            <v>10</v>
          </cell>
          <cell r="AW1484">
            <v>0</v>
          </cell>
          <cell r="AX1484">
            <v>0</v>
          </cell>
          <cell r="AY1484">
            <v>0</v>
          </cell>
          <cell r="AZ1484">
            <v>0</v>
          </cell>
          <cell r="BA1484">
            <v>0</v>
          </cell>
          <cell r="BD1484" t="str">
            <v/>
          </cell>
          <cell r="BE1484">
            <v>1</v>
          </cell>
          <cell r="BG1484" t="str">
            <v>1100</v>
          </cell>
        </row>
        <row r="1485">
          <cell r="B1485" t="str">
            <v>G282230106100100</v>
          </cell>
          <cell r="C1485" t="str">
            <v>28.兵庫県</v>
          </cell>
          <cell r="D1485" t="str">
            <v>223</v>
          </cell>
          <cell r="E1485" t="str">
            <v>丹波市</v>
          </cell>
          <cell r="F1485" t="str">
            <v>01</v>
          </cell>
          <cell r="G1485" t="str">
            <v>公共 単独</v>
          </cell>
          <cell r="H1485" t="str">
            <v>公共下水道</v>
          </cell>
          <cell r="I1485" t="str">
            <v>単独</v>
          </cell>
          <cell r="J1485" t="str">
            <v>001</v>
          </cell>
          <cell r="K1485" t="str">
            <v>氷上中央浄化センター</v>
          </cell>
          <cell r="M1485" t="str">
            <v>1</v>
          </cell>
          <cell r="N1485" t="str">
            <v>1</v>
          </cell>
          <cell r="Q1485">
            <v>26024</v>
          </cell>
          <cell r="R1485" t="str">
            <v>昭和</v>
          </cell>
          <cell r="S1485">
            <v>46</v>
          </cell>
          <cell r="T1485">
            <v>4</v>
          </cell>
          <cell r="AB1485">
            <v>7300</v>
          </cell>
          <cell r="AC1485" t="str">
            <v>加古川上流</v>
          </cell>
          <cell r="AD1485" t="str">
            <v>Ａ</v>
          </cell>
          <cell r="AE1485" t="str">
            <v>イ</v>
          </cell>
          <cell r="AF1485">
            <v>15</v>
          </cell>
          <cell r="AG1485">
            <v>20</v>
          </cell>
          <cell r="AH1485">
            <v>3</v>
          </cell>
          <cell r="AK1485" t="str">
            <v>加古川</v>
          </cell>
          <cell r="AL1485" t="str">
            <v>中西条浄水場</v>
          </cell>
          <cell r="AN1485">
            <v>57</v>
          </cell>
          <cell r="AO1485" t="str">
            <v>加古川市</v>
          </cell>
          <cell r="AQ1485" t="str">
            <v/>
          </cell>
          <cell r="AR1485" t="str">
            <v>オキシディションディッチ法</v>
          </cell>
          <cell r="AS1485" t="str">
            <v>2822301001</v>
          </cell>
          <cell r="AT1485" t="str">
            <v/>
          </cell>
          <cell r="AU1485" t="str">
            <v>10</v>
          </cell>
          <cell r="AV1485" t="str">
            <v>10</v>
          </cell>
          <cell r="AW1485">
            <v>0</v>
          </cell>
          <cell r="AX1485">
            <v>0</v>
          </cell>
          <cell r="AY1485">
            <v>0</v>
          </cell>
          <cell r="AZ1485">
            <v>0</v>
          </cell>
          <cell r="BA1485">
            <v>0</v>
          </cell>
          <cell r="BD1485" t="str">
            <v/>
          </cell>
          <cell r="BE1485">
            <v>1</v>
          </cell>
          <cell r="BG1485" t="str">
            <v>1100</v>
          </cell>
        </row>
        <row r="1486">
          <cell r="B1486" t="str">
            <v>G282230106100200</v>
          </cell>
          <cell r="C1486" t="str">
            <v>28.兵庫県</v>
          </cell>
          <cell r="D1486" t="str">
            <v>223</v>
          </cell>
          <cell r="E1486" t="str">
            <v>丹波市</v>
          </cell>
          <cell r="F1486" t="str">
            <v>01</v>
          </cell>
          <cell r="G1486" t="str">
            <v>公共 単独</v>
          </cell>
          <cell r="H1486" t="str">
            <v>公共下水道</v>
          </cell>
          <cell r="I1486" t="str">
            <v>単独</v>
          </cell>
          <cell r="J1486" t="str">
            <v>002</v>
          </cell>
          <cell r="K1486" t="str">
            <v>氷上東浄化センター</v>
          </cell>
          <cell r="M1486" t="str">
            <v>1</v>
          </cell>
          <cell r="N1486" t="str">
            <v>1</v>
          </cell>
          <cell r="Q1486">
            <v>35612</v>
          </cell>
          <cell r="R1486" t="str">
            <v>平成</v>
          </cell>
          <cell r="S1486">
            <v>9</v>
          </cell>
          <cell r="T1486">
            <v>7</v>
          </cell>
          <cell r="AB1486">
            <v>5600</v>
          </cell>
          <cell r="AC1486" t="str">
            <v>加古川上流</v>
          </cell>
          <cell r="AD1486" t="str">
            <v>Ａ</v>
          </cell>
          <cell r="AE1486" t="str">
            <v>イ</v>
          </cell>
          <cell r="AF1486">
            <v>10</v>
          </cell>
          <cell r="AG1486">
            <v>20</v>
          </cell>
          <cell r="AH1486">
            <v>3</v>
          </cell>
          <cell r="AK1486" t="str">
            <v>加古川</v>
          </cell>
          <cell r="AL1486" t="str">
            <v>中西条浄水場</v>
          </cell>
          <cell r="AN1486">
            <v>59</v>
          </cell>
          <cell r="AO1486" t="str">
            <v>加古川市</v>
          </cell>
          <cell r="AQ1486" t="str">
            <v/>
          </cell>
          <cell r="AR1486" t="str">
            <v>回分式活性汚泥法</v>
          </cell>
          <cell r="AS1486" t="str">
            <v>2822301002</v>
          </cell>
          <cell r="AT1486" t="str">
            <v/>
          </cell>
          <cell r="AU1486" t="str">
            <v>10</v>
          </cell>
          <cell r="AV1486" t="str">
            <v>10</v>
          </cell>
          <cell r="AW1486">
            <v>0</v>
          </cell>
          <cell r="AX1486">
            <v>0</v>
          </cell>
          <cell r="AY1486">
            <v>0</v>
          </cell>
          <cell r="AZ1486">
            <v>0</v>
          </cell>
          <cell r="BA1486">
            <v>0</v>
          </cell>
          <cell r="BD1486" t="str">
            <v/>
          </cell>
          <cell r="BE1486">
            <v>1</v>
          </cell>
          <cell r="BG1486" t="str">
            <v>1100</v>
          </cell>
        </row>
        <row r="1487">
          <cell r="B1487" t="str">
            <v>G282230106100300</v>
          </cell>
          <cell r="C1487" t="str">
            <v>28.兵庫県</v>
          </cell>
          <cell r="D1487" t="str">
            <v>223</v>
          </cell>
          <cell r="E1487" t="str">
            <v>丹波市</v>
          </cell>
          <cell r="F1487" t="str">
            <v>01</v>
          </cell>
          <cell r="G1487" t="str">
            <v>公共 単独</v>
          </cell>
          <cell r="H1487" t="str">
            <v>公共下水道</v>
          </cell>
          <cell r="I1487" t="str">
            <v>単独</v>
          </cell>
          <cell r="J1487" t="str">
            <v>003</v>
          </cell>
          <cell r="K1487" t="str">
            <v>柏原浄化センター</v>
          </cell>
          <cell r="M1487" t="str">
            <v>1</v>
          </cell>
          <cell r="N1487" t="str">
            <v>1</v>
          </cell>
          <cell r="Q1487">
            <v>35612</v>
          </cell>
          <cell r="R1487" t="str">
            <v>平成</v>
          </cell>
          <cell r="S1487">
            <v>9</v>
          </cell>
          <cell r="T1487">
            <v>7</v>
          </cell>
          <cell r="AB1487">
            <v>17800</v>
          </cell>
          <cell r="AC1487" t="str">
            <v>加古川上流</v>
          </cell>
          <cell r="AD1487" t="str">
            <v>Ａ</v>
          </cell>
          <cell r="AE1487" t="str">
            <v>イ</v>
          </cell>
          <cell r="AF1487">
            <v>10</v>
          </cell>
          <cell r="AG1487">
            <v>12</v>
          </cell>
          <cell r="AH1487">
            <v>3</v>
          </cell>
          <cell r="AK1487" t="str">
            <v>柏原川</v>
          </cell>
          <cell r="AL1487" t="str">
            <v>中西条浄水場</v>
          </cell>
          <cell r="AN1487">
            <v>57</v>
          </cell>
          <cell r="AO1487" t="str">
            <v>加古川市</v>
          </cell>
          <cell r="AQ1487" t="str">
            <v/>
          </cell>
          <cell r="AR1487" t="str">
            <v>オキシディションディッチ法</v>
          </cell>
          <cell r="AS1487" t="str">
            <v>2822301003</v>
          </cell>
          <cell r="AT1487" t="str">
            <v/>
          </cell>
          <cell r="AU1487" t="str">
            <v>10</v>
          </cell>
          <cell r="AV1487" t="str">
            <v>10</v>
          </cell>
          <cell r="AW1487">
            <v>0</v>
          </cell>
          <cell r="AX1487">
            <v>0</v>
          </cell>
          <cell r="AY1487">
            <v>0</v>
          </cell>
          <cell r="AZ1487">
            <v>0</v>
          </cell>
          <cell r="BA1487">
            <v>0</v>
          </cell>
          <cell r="BD1487" t="str">
            <v/>
          </cell>
          <cell r="BE1487">
            <v>1</v>
          </cell>
          <cell r="BG1487" t="str">
            <v>1100</v>
          </cell>
        </row>
        <row r="1488">
          <cell r="B1488" t="str">
            <v>G282230206100400</v>
          </cell>
          <cell r="C1488" t="str">
            <v>28.兵庫県</v>
          </cell>
          <cell r="D1488" t="str">
            <v>223</v>
          </cell>
          <cell r="E1488" t="str">
            <v>丹波市</v>
          </cell>
          <cell r="F1488" t="str">
            <v>02</v>
          </cell>
          <cell r="G1488" t="str">
            <v>特環 単独</v>
          </cell>
          <cell r="H1488" t="str">
            <v>特定環境保全公共下水道</v>
          </cell>
          <cell r="I1488" t="str">
            <v>単独</v>
          </cell>
          <cell r="J1488" t="str">
            <v>004</v>
          </cell>
          <cell r="K1488" t="str">
            <v>和田浄化センター</v>
          </cell>
          <cell r="M1488" t="str">
            <v>1</v>
          </cell>
          <cell r="N1488" t="str">
            <v>1</v>
          </cell>
          <cell r="Q1488">
            <v>33756</v>
          </cell>
          <cell r="R1488" t="str">
            <v>平成</v>
          </cell>
          <cell r="S1488">
            <v>4</v>
          </cell>
          <cell r="T1488">
            <v>6</v>
          </cell>
          <cell r="AB1488">
            <v>3000</v>
          </cell>
          <cell r="AC1488" t="str">
            <v>加古川上流</v>
          </cell>
          <cell r="AD1488" t="str">
            <v>Ａ</v>
          </cell>
          <cell r="AE1488" t="str">
            <v>イ</v>
          </cell>
          <cell r="AF1488">
            <v>15</v>
          </cell>
          <cell r="AG1488">
            <v>12</v>
          </cell>
          <cell r="AH1488">
            <v>3</v>
          </cell>
          <cell r="AK1488" t="str">
            <v>加古川市</v>
          </cell>
          <cell r="AL1488" t="str">
            <v>中西条浄水場</v>
          </cell>
          <cell r="AN1488">
            <v>45</v>
          </cell>
          <cell r="AO1488" t="str">
            <v>加古川市</v>
          </cell>
          <cell r="AQ1488" t="str">
            <v/>
          </cell>
          <cell r="AR1488" t="str">
            <v>オキシディションディッチ法</v>
          </cell>
          <cell r="AS1488" t="str">
            <v>2822302004</v>
          </cell>
          <cell r="AT1488" t="str">
            <v/>
          </cell>
          <cell r="AU1488" t="str">
            <v>10</v>
          </cell>
          <cell r="AV1488" t="str">
            <v>10</v>
          </cell>
          <cell r="AW1488">
            <v>0</v>
          </cell>
          <cell r="AX1488">
            <v>0</v>
          </cell>
          <cell r="AY1488">
            <v>0</v>
          </cell>
          <cell r="AZ1488">
            <v>0</v>
          </cell>
          <cell r="BA1488">
            <v>0</v>
          </cell>
          <cell r="BD1488" t="str">
            <v/>
          </cell>
          <cell r="BE1488">
            <v>1</v>
          </cell>
          <cell r="BG1488" t="str">
            <v>1100</v>
          </cell>
        </row>
        <row r="1489">
          <cell r="B1489" t="str">
            <v>G282230206100500</v>
          </cell>
          <cell r="C1489" t="str">
            <v>28.兵庫県</v>
          </cell>
          <cell r="D1489" t="str">
            <v>223</v>
          </cell>
          <cell r="E1489" t="str">
            <v>丹波市</v>
          </cell>
          <cell r="F1489" t="str">
            <v>02</v>
          </cell>
          <cell r="G1489" t="str">
            <v>特環 単独</v>
          </cell>
          <cell r="H1489" t="str">
            <v>特定環境保全公共下水道</v>
          </cell>
          <cell r="I1489" t="str">
            <v>単独</v>
          </cell>
          <cell r="J1489" t="str">
            <v>005</v>
          </cell>
          <cell r="K1489" t="str">
            <v>氷上南浄化センター</v>
          </cell>
          <cell r="M1489" t="str">
            <v>1</v>
          </cell>
          <cell r="N1489" t="str">
            <v>1</v>
          </cell>
          <cell r="Q1489">
            <v>34425</v>
          </cell>
          <cell r="R1489" t="str">
            <v>平成</v>
          </cell>
          <cell r="S1489">
            <v>6</v>
          </cell>
          <cell r="T1489">
            <v>4</v>
          </cell>
          <cell r="AB1489">
            <v>6200</v>
          </cell>
          <cell r="AC1489" t="str">
            <v>加古川上流</v>
          </cell>
          <cell r="AD1489" t="str">
            <v>Ａ</v>
          </cell>
          <cell r="AE1489" t="str">
            <v>イ</v>
          </cell>
          <cell r="AF1489">
            <v>15</v>
          </cell>
          <cell r="AG1489">
            <v>20</v>
          </cell>
          <cell r="AH1489">
            <v>3</v>
          </cell>
          <cell r="AK1489" t="str">
            <v>加古川</v>
          </cell>
          <cell r="AL1489" t="str">
            <v>中西条浄水場</v>
          </cell>
          <cell r="AN1489">
            <v>52</v>
          </cell>
          <cell r="AO1489" t="str">
            <v>加古川市</v>
          </cell>
          <cell r="AQ1489" t="str">
            <v/>
          </cell>
          <cell r="AR1489" t="str">
            <v>オキシディションディッチ法</v>
          </cell>
          <cell r="AS1489" t="str">
            <v>2822302005</v>
          </cell>
          <cell r="AT1489" t="str">
            <v/>
          </cell>
          <cell r="AU1489" t="str">
            <v>10</v>
          </cell>
          <cell r="AV1489" t="str">
            <v>10</v>
          </cell>
          <cell r="AW1489">
            <v>0</v>
          </cell>
          <cell r="AX1489">
            <v>0</v>
          </cell>
          <cell r="AY1489">
            <v>0</v>
          </cell>
          <cell r="AZ1489">
            <v>0</v>
          </cell>
          <cell r="BA1489">
            <v>0</v>
          </cell>
          <cell r="BD1489" t="str">
            <v/>
          </cell>
          <cell r="BE1489">
            <v>1</v>
          </cell>
          <cell r="BG1489" t="str">
            <v>1100</v>
          </cell>
        </row>
        <row r="1490">
          <cell r="B1490" t="str">
            <v>G282230206100600</v>
          </cell>
          <cell r="C1490" t="str">
            <v>28.兵庫県</v>
          </cell>
          <cell r="D1490" t="str">
            <v>223</v>
          </cell>
          <cell r="E1490" t="str">
            <v>丹波市</v>
          </cell>
          <cell r="F1490" t="str">
            <v>02</v>
          </cell>
          <cell r="G1490" t="str">
            <v>特環 単独</v>
          </cell>
          <cell r="H1490" t="str">
            <v>特定環境保全公共下水道</v>
          </cell>
          <cell r="I1490" t="str">
            <v>単独</v>
          </cell>
          <cell r="J1490" t="str">
            <v>006</v>
          </cell>
          <cell r="K1490" t="str">
            <v>谷川浄化センター</v>
          </cell>
          <cell r="M1490" t="str">
            <v>1</v>
          </cell>
          <cell r="N1490" t="str">
            <v>1</v>
          </cell>
          <cell r="Q1490">
            <v>35217</v>
          </cell>
          <cell r="R1490" t="str">
            <v>平成</v>
          </cell>
          <cell r="S1490">
            <v>8</v>
          </cell>
          <cell r="T1490">
            <v>6</v>
          </cell>
          <cell r="AB1490">
            <v>4600</v>
          </cell>
          <cell r="AC1490" t="str">
            <v>加古川上流</v>
          </cell>
          <cell r="AD1490" t="str">
            <v>Ａ</v>
          </cell>
          <cell r="AE1490" t="str">
            <v>イ</v>
          </cell>
          <cell r="AF1490">
            <v>15</v>
          </cell>
          <cell r="AG1490">
            <v>12</v>
          </cell>
          <cell r="AH1490">
            <v>3</v>
          </cell>
          <cell r="AK1490" t="str">
            <v>山田川</v>
          </cell>
          <cell r="AL1490" t="str">
            <v>中西条浄水場</v>
          </cell>
          <cell r="AN1490">
            <v>43</v>
          </cell>
          <cell r="AO1490" t="str">
            <v>加古川市</v>
          </cell>
          <cell r="AQ1490" t="str">
            <v/>
          </cell>
          <cell r="AR1490" t="str">
            <v>オキシディションディッチ法</v>
          </cell>
          <cell r="AS1490" t="str">
            <v>2822302006</v>
          </cell>
          <cell r="AT1490" t="str">
            <v/>
          </cell>
          <cell r="AU1490" t="str">
            <v>10</v>
          </cell>
          <cell r="AV1490" t="str">
            <v>10</v>
          </cell>
          <cell r="AW1490">
            <v>0</v>
          </cell>
          <cell r="AX1490">
            <v>0</v>
          </cell>
          <cell r="AY1490">
            <v>0</v>
          </cell>
          <cell r="AZ1490">
            <v>0</v>
          </cell>
          <cell r="BA1490">
            <v>0</v>
          </cell>
          <cell r="BD1490" t="str">
            <v/>
          </cell>
          <cell r="BE1490">
            <v>1</v>
          </cell>
          <cell r="BG1490" t="str">
            <v>1100</v>
          </cell>
        </row>
        <row r="1491">
          <cell r="B1491" t="str">
            <v>G282230206100700</v>
          </cell>
          <cell r="C1491" t="str">
            <v>28.兵庫県</v>
          </cell>
          <cell r="D1491" t="str">
            <v>223</v>
          </cell>
          <cell r="E1491" t="str">
            <v>丹波市</v>
          </cell>
          <cell r="F1491" t="str">
            <v>02</v>
          </cell>
          <cell r="G1491" t="str">
            <v>特環 単独</v>
          </cell>
          <cell r="H1491" t="str">
            <v>特定環境保全公共下水道</v>
          </cell>
          <cell r="I1491" t="str">
            <v>単独</v>
          </cell>
          <cell r="J1491" t="str">
            <v>007</v>
          </cell>
          <cell r="K1491" t="str">
            <v>竹田浄化センター</v>
          </cell>
          <cell r="M1491" t="str">
            <v>1</v>
          </cell>
          <cell r="N1491" t="str">
            <v>1</v>
          </cell>
          <cell r="Q1491">
            <v>35582</v>
          </cell>
          <cell r="R1491" t="str">
            <v>平成</v>
          </cell>
          <cell r="S1491">
            <v>9</v>
          </cell>
          <cell r="T1491">
            <v>6</v>
          </cell>
          <cell r="AB1491">
            <v>5885</v>
          </cell>
          <cell r="AC1491" t="str">
            <v>設定なし</v>
          </cell>
          <cell r="AF1491">
            <v>10</v>
          </cell>
          <cell r="AK1491" t="str">
            <v>竹田川</v>
          </cell>
          <cell r="AL1491" t="str">
            <v>堀浄水場</v>
          </cell>
          <cell r="AN1491">
            <v>11</v>
          </cell>
          <cell r="AO1491" t="str">
            <v>福知山市</v>
          </cell>
          <cell r="AQ1491" t="str">
            <v/>
          </cell>
          <cell r="AR1491" t="str">
            <v>オキシディションディッチ法</v>
          </cell>
          <cell r="AS1491" t="str">
            <v>2822302007</v>
          </cell>
          <cell r="AT1491" t="str">
            <v/>
          </cell>
          <cell r="AU1491" t="str">
            <v>10</v>
          </cell>
          <cell r="AV1491" t="str">
            <v>10</v>
          </cell>
          <cell r="AW1491">
            <v>0</v>
          </cell>
          <cell r="AX1491">
            <v>0</v>
          </cell>
          <cell r="AY1491">
            <v>0</v>
          </cell>
          <cell r="AZ1491">
            <v>0</v>
          </cell>
          <cell r="BA1491">
            <v>0</v>
          </cell>
          <cell r="BD1491" t="str">
            <v/>
          </cell>
          <cell r="BE1491">
            <v>1</v>
          </cell>
          <cell r="BG1491" t="str">
            <v>1100</v>
          </cell>
        </row>
        <row r="1492">
          <cell r="B1492" t="str">
            <v>G282230206100800</v>
          </cell>
          <cell r="C1492" t="str">
            <v>28.兵庫県</v>
          </cell>
          <cell r="D1492" t="str">
            <v>223</v>
          </cell>
          <cell r="E1492" t="str">
            <v>丹波市</v>
          </cell>
          <cell r="F1492" t="str">
            <v>02</v>
          </cell>
          <cell r="G1492" t="str">
            <v>特環 単独</v>
          </cell>
          <cell r="H1492" t="str">
            <v>特定環境保全公共下水道</v>
          </cell>
          <cell r="I1492" t="str">
            <v>単独</v>
          </cell>
          <cell r="J1492" t="str">
            <v>008</v>
          </cell>
          <cell r="K1492" t="str">
            <v>黒井浄化センター</v>
          </cell>
          <cell r="M1492" t="str">
            <v>1</v>
          </cell>
          <cell r="N1492" t="str">
            <v>1</v>
          </cell>
          <cell r="Q1492">
            <v>35582</v>
          </cell>
          <cell r="R1492" t="str">
            <v>平成</v>
          </cell>
          <cell r="S1492">
            <v>9</v>
          </cell>
          <cell r="T1492">
            <v>6</v>
          </cell>
          <cell r="AB1492">
            <v>6530</v>
          </cell>
          <cell r="AC1492" t="str">
            <v>設定なし</v>
          </cell>
          <cell r="AF1492">
            <v>15</v>
          </cell>
          <cell r="AK1492" t="str">
            <v>黒井川</v>
          </cell>
          <cell r="AL1492" t="str">
            <v>堀浄水場</v>
          </cell>
          <cell r="AN1492">
            <v>25</v>
          </cell>
          <cell r="AO1492" t="str">
            <v>福知山市</v>
          </cell>
          <cell r="AQ1492" t="str">
            <v/>
          </cell>
          <cell r="AR1492" t="str">
            <v>オキシディションディッチ法</v>
          </cell>
          <cell r="AS1492" t="str">
            <v>2822302008</v>
          </cell>
          <cell r="AT1492" t="str">
            <v/>
          </cell>
          <cell r="AU1492" t="str">
            <v>10</v>
          </cell>
          <cell r="AV1492" t="str">
            <v>10</v>
          </cell>
          <cell r="AW1492">
            <v>0</v>
          </cell>
          <cell r="AX1492">
            <v>0</v>
          </cell>
          <cell r="AY1492">
            <v>0</v>
          </cell>
          <cell r="AZ1492">
            <v>0</v>
          </cell>
          <cell r="BA1492">
            <v>0</v>
          </cell>
          <cell r="BD1492" t="str">
            <v/>
          </cell>
          <cell r="BE1492">
            <v>1</v>
          </cell>
          <cell r="BG1492" t="str">
            <v>1100</v>
          </cell>
        </row>
        <row r="1493">
          <cell r="B1493" t="str">
            <v>G282230206100900</v>
          </cell>
          <cell r="C1493" t="str">
            <v>28.兵庫県</v>
          </cell>
          <cell r="D1493" t="str">
            <v>223</v>
          </cell>
          <cell r="E1493" t="str">
            <v>丹波市</v>
          </cell>
          <cell r="F1493" t="str">
            <v>02</v>
          </cell>
          <cell r="G1493" t="str">
            <v>特環 単独</v>
          </cell>
          <cell r="H1493" t="str">
            <v>特定環境保全公共下水道</v>
          </cell>
          <cell r="I1493" t="str">
            <v>単独</v>
          </cell>
          <cell r="J1493" t="str">
            <v>009</v>
          </cell>
          <cell r="K1493" t="str">
            <v>吉見浄化センター</v>
          </cell>
          <cell r="M1493" t="str">
            <v>1</v>
          </cell>
          <cell r="N1493" t="str">
            <v>1</v>
          </cell>
          <cell r="Q1493">
            <v>36617</v>
          </cell>
          <cell r="R1493" t="str">
            <v>平成</v>
          </cell>
          <cell r="S1493">
            <v>12</v>
          </cell>
          <cell r="T1493">
            <v>4</v>
          </cell>
          <cell r="AB1493">
            <v>9380</v>
          </cell>
          <cell r="AC1493" t="str">
            <v>設定なし</v>
          </cell>
          <cell r="AF1493">
            <v>15</v>
          </cell>
          <cell r="AK1493" t="str">
            <v>竹田川</v>
          </cell>
          <cell r="AL1493" t="str">
            <v>堀浄水場</v>
          </cell>
          <cell r="AN1493">
            <v>15</v>
          </cell>
          <cell r="AO1493" t="str">
            <v>福知山市</v>
          </cell>
          <cell r="AQ1493" t="str">
            <v/>
          </cell>
          <cell r="AR1493" t="str">
            <v>オキシディションディッチ法</v>
          </cell>
          <cell r="AS1493" t="str">
            <v>2822302009</v>
          </cell>
          <cell r="AT1493" t="str">
            <v/>
          </cell>
          <cell r="AU1493" t="str">
            <v>10</v>
          </cell>
          <cell r="AV1493" t="str">
            <v>10</v>
          </cell>
          <cell r="AW1493">
            <v>0</v>
          </cell>
          <cell r="AX1493">
            <v>0</v>
          </cell>
          <cell r="AY1493">
            <v>0</v>
          </cell>
          <cell r="AZ1493">
            <v>0</v>
          </cell>
          <cell r="BA1493">
            <v>0</v>
          </cell>
          <cell r="BD1493" t="str">
            <v/>
          </cell>
          <cell r="BE1493">
            <v>1</v>
          </cell>
          <cell r="BG1493" t="str">
            <v>1100</v>
          </cell>
        </row>
        <row r="1494">
          <cell r="B1494" t="str">
            <v>G282230206101000</v>
          </cell>
          <cell r="C1494" t="str">
            <v>28.兵庫県</v>
          </cell>
          <cell r="D1494" t="str">
            <v>223</v>
          </cell>
          <cell r="E1494" t="str">
            <v>丹波市</v>
          </cell>
          <cell r="F1494" t="str">
            <v>02</v>
          </cell>
          <cell r="G1494" t="str">
            <v>特環 単独</v>
          </cell>
          <cell r="H1494" t="str">
            <v>特定環境保全公共下水道</v>
          </cell>
          <cell r="I1494" t="str">
            <v>単独</v>
          </cell>
          <cell r="J1494" t="str">
            <v>010</v>
          </cell>
          <cell r="K1494" t="str">
            <v>小川浄化センター</v>
          </cell>
          <cell r="M1494" t="str">
            <v>1</v>
          </cell>
          <cell r="Q1494">
            <v>37043</v>
          </cell>
          <cell r="R1494" t="str">
            <v>平成</v>
          </cell>
          <cell r="S1494">
            <v>13</v>
          </cell>
          <cell r="T1494">
            <v>6</v>
          </cell>
          <cell r="AB1494">
            <v>6000</v>
          </cell>
          <cell r="AC1494" t="str">
            <v>加古川上流</v>
          </cell>
          <cell r="AD1494" t="str">
            <v>Ａ</v>
          </cell>
          <cell r="AE1494" t="str">
            <v>イ</v>
          </cell>
          <cell r="AF1494">
            <v>15</v>
          </cell>
          <cell r="AG1494">
            <v>12</v>
          </cell>
          <cell r="AH1494">
            <v>3</v>
          </cell>
          <cell r="AK1494" t="str">
            <v>篠山川</v>
          </cell>
          <cell r="AL1494" t="str">
            <v>中西条浄水場</v>
          </cell>
          <cell r="AN1494">
            <v>45</v>
          </cell>
          <cell r="AO1494" t="str">
            <v>加古川市</v>
          </cell>
          <cell r="AQ1494" t="str">
            <v/>
          </cell>
          <cell r="AR1494" t="str">
            <v>オキシディションディッチ法</v>
          </cell>
          <cell r="AS1494" t="str">
            <v>2822302010</v>
          </cell>
          <cell r="AT1494" t="str">
            <v/>
          </cell>
          <cell r="AU1494" t="str">
            <v>00</v>
          </cell>
          <cell r="AV1494" t="str">
            <v>00</v>
          </cell>
          <cell r="AW1494">
            <v>0</v>
          </cell>
          <cell r="AX1494">
            <v>0</v>
          </cell>
          <cell r="AY1494">
            <v>0</v>
          </cell>
          <cell r="AZ1494">
            <v>0</v>
          </cell>
          <cell r="BA1494">
            <v>0</v>
          </cell>
          <cell r="BD1494" t="str">
            <v/>
          </cell>
          <cell r="BE1494">
            <v>1</v>
          </cell>
          <cell r="BG1494" t="str">
            <v>1000</v>
          </cell>
        </row>
        <row r="1495">
          <cell r="B1495" t="str">
            <v>G282230206101100</v>
          </cell>
          <cell r="C1495" t="str">
            <v>28.兵庫県</v>
          </cell>
          <cell r="D1495" t="str">
            <v>223</v>
          </cell>
          <cell r="E1495" t="str">
            <v>丹波市</v>
          </cell>
          <cell r="F1495" t="str">
            <v>02</v>
          </cell>
          <cell r="G1495" t="str">
            <v>特環 単独</v>
          </cell>
          <cell r="H1495" t="str">
            <v>特定環境保全公共下水道</v>
          </cell>
          <cell r="I1495" t="str">
            <v>単独</v>
          </cell>
          <cell r="J1495" t="str">
            <v>011</v>
          </cell>
          <cell r="K1495" t="str">
            <v>氷上北浄化センター</v>
          </cell>
          <cell r="M1495" t="str">
            <v>1</v>
          </cell>
          <cell r="N1495" t="str">
            <v>1</v>
          </cell>
          <cell r="Q1495">
            <v>37377</v>
          </cell>
          <cell r="R1495" t="str">
            <v>平成</v>
          </cell>
          <cell r="S1495">
            <v>14</v>
          </cell>
          <cell r="T1495">
            <v>5</v>
          </cell>
          <cell r="AB1495">
            <v>7600</v>
          </cell>
          <cell r="AC1495" t="str">
            <v>加古川上流</v>
          </cell>
          <cell r="AD1495" t="str">
            <v>Ａ</v>
          </cell>
          <cell r="AE1495" t="str">
            <v>イ</v>
          </cell>
          <cell r="AF1495">
            <v>15</v>
          </cell>
          <cell r="AG1495">
            <v>20</v>
          </cell>
          <cell r="AH1495">
            <v>3</v>
          </cell>
          <cell r="AK1495" t="str">
            <v>加古川</v>
          </cell>
          <cell r="AL1495" t="str">
            <v>中西条浄水場</v>
          </cell>
          <cell r="AN1495">
            <v>58</v>
          </cell>
          <cell r="AO1495" t="str">
            <v>加古川市</v>
          </cell>
          <cell r="AQ1495" t="str">
            <v/>
          </cell>
          <cell r="AR1495" t="str">
            <v>オキシディションディッチ法</v>
          </cell>
          <cell r="AS1495" t="str">
            <v>2822302011</v>
          </cell>
          <cell r="AT1495" t="str">
            <v/>
          </cell>
          <cell r="AU1495" t="str">
            <v>10</v>
          </cell>
          <cell r="AV1495" t="str">
            <v>10</v>
          </cell>
          <cell r="AW1495">
            <v>0</v>
          </cell>
          <cell r="AX1495">
            <v>0</v>
          </cell>
          <cell r="AY1495">
            <v>0</v>
          </cell>
          <cell r="AZ1495">
            <v>0</v>
          </cell>
          <cell r="BA1495">
            <v>0</v>
          </cell>
          <cell r="BD1495" t="str">
            <v/>
          </cell>
          <cell r="BE1495">
            <v>1</v>
          </cell>
          <cell r="BG1495" t="str">
            <v>1100</v>
          </cell>
        </row>
        <row r="1496">
          <cell r="B1496" t="str">
            <v>G282240206100100</v>
          </cell>
          <cell r="C1496" t="str">
            <v>28.兵庫県</v>
          </cell>
          <cell r="D1496" t="str">
            <v>224</v>
          </cell>
          <cell r="E1496" t="str">
            <v>南あわじ市</v>
          </cell>
          <cell r="F1496" t="str">
            <v>02</v>
          </cell>
          <cell r="G1496" t="str">
            <v>特環 単独</v>
          </cell>
          <cell r="H1496" t="str">
            <v>特定環境保全公共下水道</v>
          </cell>
          <cell r="I1496" t="str">
            <v>単独</v>
          </cell>
          <cell r="J1496" t="str">
            <v>001</v>
          </cell>
          <cell r="K1496" t="str">
            <v>阿万浄化センター</v>
          </cell>
          <cell r="M1496" t="str">
            <v>1</v>
          </cell>
          <cell r="N1496" t="str">
            <v>1</v>
          </cell>
          <cell r="Q1496">
            <v>37347</v>
          </cell>
          <cell r="R1496" t="str">
            <v>平成</v>
          </cell>
          <cell r="S1496">
            <v>14</v>
          </cell>
          <cell r="T1496">
            <v>4</v>
          </cell>
          <cell r="AB1496">
            <v>9753</v>
          </cell>
          <cell r="AC1496" t="str">
            <v>淡路島西部・南部海域</v>
          </cell>
          <cell r="AD1496" t="str">
            <v>Ａ</v>
          </cell>
          <cell r="AE1496" t="str">
            <v>イ</v>
          </cell>
          <cell r="AF1496">
            <v>15</v>
          </cell>
          <cell r="AG1496">
            <v>11</v>
          </cell>
          <cell r="AH1496">
            <v>1</v>
          </cell>
          <cell r="AI1496" t="str">
            <v>播磨灘</v>
          </cell>
          <cell r="AJ1496" t="str">
            <v>本庄川</v>
          </cell>
          <cell r="AQ1496" t="str">
            <v/>
          </cell>
          <cell r="AR1496" t="str">
            <v>高度処理オキシディションディッチ法</v>
          </cell>
          <cell r="AS1496" t="str">
            <v>2822402001</v>
          </cell>
          <cell r="AT1496" t="str">
            <v/>
          </cell>
          <cell r="AU1496" t="str">
            <v>10</v>
          </cell>
          <cell r="AV1496" t="str">
            <v>10</v>
          </cell>
          <cell r="AW1496">
            <v>0</v>
          </cell>
          <cell r="AX1496">
            <v>0</v>
          </cell>
          <cell r="AY1496">
            <v>0</v>
          </cell>
          <cell r="AZ1496">
            <v>0</v>
          </cell>
          <cell r="BA1496">
            <v>0</v>
          </cell>
          <cell r="BD1496" t="str">
            <v/>
          </cell>
          <cell r="BE1496">
            <v>1</v>
          </cell>
          <cell r="BG1496" t="str">
            <v>1100</v>
          </cell>
        </row>
        <row r="1497">
          <cell r="B1497" t="str">
            <v>G282240206100200</v>
          </cell>
          <cell r="C1497" t="str">
            <v>28.兵庫県</v>
          </cell>
          <cell r="D1497" t="str">
            <v>224</v>
          </cell>
          <cell r="E1497" t="str">
            <v>南あわじ市</v>
          </cell>
          <cell r="F1497" t="str">
            <v>02</v>
          </cell>
          <cell r="G1497" t="str">
            <v>特環 単独</v>
          </cell>
          <cell r="H1497" t="str">
            <v>特定環境保全公共下水道</v>
          </cell>
          <cell r="I1497" t="str">
            <v>単独</v>
          </cell>
          <cell r="J1497" t="str">
            <v>002</v>
          </cell>
          <cell r="K1497" t="str">
            <v>市・榎列浄化センター</v>
          </cell>
          <cell r="M1497" t="str">
            <v>1</v>
          </cell>
          <cell r="N1497" t="str">
            <v>1</v>
          </cell>
          <cell r="P1497" t="str">
            <v>1</v>
          </cell>
          <cell r="Q1497">
            <v>38077</v>
          </cell>
          <cell r="R1497" t="str">
            <v>平成</v>
          </cell>
          <cell r="S1497">
            <v>16</v>
          </cell>
          <cell r="T1497">
            <v>3</v>
          </cell>
          <cell r="AB1497">
            <v>20283</v>
          </cell>
          <cell r="AC1497" t="str">
            <v>淡路島西部・南部海域</v>
          </cell>
          <cell r="AD1497" t="str">
            <v>Ａ</v>
          </cell>
          <cell r="AE1497" t="str">
            <v>イ</v>
          </cell>
          <cell r="AF1497">
            <v>15</v>
          </cell>
          <cell r="AG1497">
            <v>11</v>
          </cell>
          <cell r="AH1497">
            <v>1</v>
          </cell>
          <cell r="AI1497" t="str">
            <v>播磨灘</v>
          </cell>
          <cell r="AJ1497" t="str">
            <v>三原川</v>
          </cell>
          <cell r="AQ1497" t="str">
            <v/>
          </cell>
          <cell r="AR1497" t="str">
            <v>高度処理オキシディションディッチ法</v>
          </cell>
          <cell r="AS1497" t="str">
            <v>2822402002</v>
          </cell>
          <cell r="AT1497" t="str">
            <v/>
          </cell>
          <cell r="AU1497" t="str">
            <v>10</v>
          </cell>
          <cell r="AV1497" t="str">
            <v>10</v>
          </cell>
          <cell r="AW1497">
            <v>1</v>
          </cell>
          <cell r="AX1497">
            <v>0</v>
          </cell>
          <cell r="AY1497">
            <v>0</v>
          </cell>
          <cell r="AZ1497">
            <v>0</v>
          </cell>
          <cell r="BA1497">
            <v>0</v>
          </cell>
          <cell r="BD1497" t="str">
            <v/>
          </cell>
          <cell r="BE1497">
            <v>1</v>
          </cell>
          <cell r="BG1497" t="str">
            <v>1101</v>
          </cell>
        </row>
        <row r="1498">
          <cell r="B1498" t="str">
            <v>G282240206100300</v>
          </cell>
          <cell r="C1498" t="str">
            <v>28.兵庫県</v>
          </cell>
          <cell r="D1498" t="str">
            <v>224</v>
          </cell>
          <cell r="E1498" t="str">
            <v>南あわじ市</v>
          </cell>
          <cell r="F1498" t="str">
            <v>02</v>
          </cell>
          <cell r="G1498" t="str">
            <v>特環 単独</v>
          </cell>
          <cell r="H1498" t="str">
            <v>特定環境保全公共下水道</v>
          </cell>
          <cell r="I1498" t="str">
            <v>単独</v>
          </cell>
          <cell r="J1498" t="str">
            <v>003</v>
          </cell>
          <cell r="K1498" t="str">
            <v>八木・榎列浄化センター</v>
          </cell>
          <cell r="M1498" t="str">
            <v>1</v>
          </cell>
          <cell r="N1498" t="str">
            <v>1</v>
          </cell>
          <cell r="P1498" t="str">
            <v>1</v>
          </cell>
          <cell r="Q1498">
            <v>38383</v>
          </cell>
          <cell r="R1498" t="str">
            <v>平成</v>
          </cell>
          <cell r="S1498">
            <v>17</v>
          </cell>
          <cell r="T1498">
            <v>1</v>
          </cell>
          <cell r="AB1498">
            <v>11098</v>
          </cell>
          <cell r="AC1498" t="str">
            <v>淡路島西部・南部海域</v>
          </cell>
          <cell r="AD1498" t="str">
            <v>Ａ</v>
          </cell>
          <cell r="AE1498" t="str">
            <v>イ</v>
          </cell>
          <cell r="AF1498">
            <v>12</v>
          </cell>
          <cell r="AG1498">
            <v>11</v>
          </cell>
          <cell r="AH1498">
            <v>1</v>
          </cell>
          <cell r="AI1498" t="str">
            <v>播磨灘</v>
          </cell>
          <cell r="AJ1498" t="str">
            <v>成相川</v>
          </cell>
          <cell r="AQ1498" t="str">
            <v/>
          </cell>
          <cell r="AR1498" t="str">
            <v>高度処理オキシディションディッチ法</v>
          </cell>
          <cell r="AS1498" t="str">
            <v>2822402003</v>
          </cell>
          <cell r="AT1498" t="str">
            <v/>
          </cell>
          <cell r="AU1498" t="str">
            <v>10</v>
          </cell>
          <cell r="AV1498" t="str">
            <v>10</v>
          </cell>
          <cell r="AW1498">
            <v>1</v>
          </cell>
          <cell r="AX1498">
            <v>0</v>
          </cell>
          <cell r="AY1498">
            <v>0</v>
          </cell>
          <cell r="AZ1498">
            <v>0</v>
          </cell>
          <cell r="BA1498">
            <v>0</v>
          </cell>
          <cell r="BD1498" t="str">
            <v/>
          </cell>
          <cell r="BE1498">
            <v>1</v>
          </cell>
          <cell r="BG1498" t="str">
            <v>1101</v>
          </cell>
        </row>
        <row r="1499">
          <cell r="B1499" t="str">
            <v>G282240206100400</v>
          </cell>
          <cell r="C1499" t="str">
            <v>28.兵庫県</v>
          </cell>
          <cell r="D1499" t="str">
            <v>224</v>
          </cell>
          <cell r="E1499" t="str">
            <v>南あわじ市</v>
          </cell>
          <cell r="F1499" t="str">
            <v>02</v>
          </cell>
          <cell r="G1499" t="str">
            <v>特環 単独</v>
          </cell>
          <cell r="H1499" t="str">
            <v>特定環境保全公共下水道</v>
          </cell>
          <cell r="I1499" t="str">
            <v>単独</v>
          </cell>
          <cell r="J1499" t="str">
            <v>004</v>
          </cell>
          <cell r="K1499" t="str">
            <v>神代浄化センター</v>
          </cell>
          <cell r="M1499" t="str">
            <v>1</v>
          </cell>
          <cell r="N1499" t="str">
            <v>1</v>
          </cell>
          <cell r="P1499" t="str">
            <v>1</v>
          </cell>
          <cell r="Q1499">
            <v>38383</v>
          </cell>
          <cell r="R1499" t="str">
            <v>平成</v>
          </cell>
          <cell r="S1499">
            <v>17</v>
          </cell>
          <cell r="T1499">
            <v>1</v>
          </cell>
          <cell r="AB1499">
            <v>7493</v>
          </cell>
          <cell r="AC1499" t="str">
            <v>淡路島西部・南部海岸</v>
          </cell>
          <cell r="AD1499" t="str">
            <v>Ａ</v>
          </cell>
          <cell r="AE1499" t="str">
            <v>イ</v>
          </cell>
          <cell r="AF1499">
            <v>12</v>
          </cell>
          <cell r="AG1499">
            <v>11</v>
          </cell>
          <cell r="AH1499">
            <v>1</v>
          </cell>
          <cell r="AI1499" t="str">
            <v>鳥羽曽川</v>
          </cell>
          <cell r="AJ1499" t="str">
            <v>馬乗捨川</v>
          </cell>
          <cell r="AQ1499" t="str">
            <v/>
          </cell>
          <cell r="AR1499" t="str">
            <v>高度処理オキシディションディッチ法</v>
          </cell>
          <cell r="AS1499" t="str">
            <v>2822402004</v>
          </cell>
          <cell r="AT1499" t="str">
            <v/>
          </cell>
          <cell r="AU1499" t="str">
            <v>10</v>
          </cell>
          <cell r="AV1499" t="str">
            <v>10</v>
          </cell>
          <cell r="AW1499">
            <v>1</v>
          </cell>
          <cell r="AX1499">
            <v>0</v>
          </cell>
          <cell r="AY1499">
            <v>0</v>
          </cell>
          <cell r="AZ1499">
            <v>0</v>
          </cell>
          <cell r="BA1499">
            <v>0</v>
          </cell>
          <cell r="BD1499" t="str">
            <v/>
          </cell>
          <cell r="BE1499">
            <v>1</v>
          </cell>
          <cell r="BG1499" t="str">
            <v>1101</v>
          </cell>
        </row>
        <row r="1500">
          <cell r="B1500" t="str">
            <v>G282240206100500</v>
          </cell>
          <cell r="C1500" t="str">
            <v>28.兵庫県</v>
          </cell>
          <cell r="D1500" t="str">
            <v>224</v>
          </cell>
          <cell r="E1500" t="str">
            <v>南あわじ市</v>
          </cell>
          <cell r="F1500" t="str">
            <v>02</v>
          </cell>
          <cell r="G1500" t="str">
            <v>特環 単独</v>
          </cell>
          <cell r="H1500" t="str">
            <v>特定環境保全公共下水道</v>
          </cell>
          <cell r="I1500" t="str">
            <v>単独</v>
          </cell>
          <cell r="J1500" t="str">
            <v>005</v>
          </cell>
          <cell r="K1500" t="str">
            <v>広田浄化センター</v>
          </cell>
          <cell r="M1500" t="str">
            <v>1</v>
          </cell>
          <cell r="N1500" t="str">
            <v>1</v>
          </cell>
          <cell r="Q1500">
            <v>38442</v>
          </cell>
          <cell r="R1500" t="str">
            <v>平成</v>
          </cell>
          <cell r="S1500">
            <v>17</v>
          </cell>
          <cell r="T1500">
            <v>3</v>
          </cell>
          <cell r="AB1500">
            <v>13467</v>
          </cell>
          <cell r="AF1500">
            <v>15</v>
          </cell>
          <cell r="AG1500">
            <v>20</v>
          </cell>
          <cell r="AH1500">
            <v>2</v>
          </cell>
          <cell r="AI1500" t="str">
            <v>大阪湾</v>
          </cell>
          <cell r="AJ1500" t="str">
            <v>初尾川</v>
          </cell>
          <cell r="AQ1500" t="str">
            <v/>
          </cell>
          <cell r="AR1500" t="str">
            <v>高度処理オキシディションディッチ法</v>
          </cell>
          <cell r="AS1500" t="str">
            <v>2822402005</v>
          </cell>
          <cell r="AT1500" t="str">
            <v/>
          </cell>
          <cell r="AU1500" t="str">
            <v>10</v>
          </cell>
          <cell r="AV1500" t="str">
            <v>10</v>
          </cell>
          <cell r="AW1500">
            <v>0</v>
          </cell>
          <cell r="AX1500">
            <v>0</v>
          </cell>
          <cell r="AY1500">
            <v>0</v>
          </cell>
          <cell r="AZ1500">
            <v>0</v>
          </cell>
          <cell r="BA1500">
            <v>0</v>
          </cell>
          <cell r="BD1500" t="str">
            <v/>
          </cell>
          <cell r="BE1500">
            <v>1</v>
          </cell>
          <cell r="BG1500" t="str">
            <v>1100</v>
          </cell>
        </row>
        <row r="1501">
          <cell r="B1501" t="str">
            <v>G282240206100600</v>
          </cell>
          <cell r="C1501" t="str">
            <v>28.兵庫県</v>
          </cell>
          <cell r="D1501" t="str">
            <v>224</v>
          </cell>
          <cell r="E1501" t="str">
            <v>南あわじ市</v>
          </cell>
          <cell r="F1501" t="str">
            <v>02</v>
          </cell>
          <cell r="G1501" t="str">
            <v>特環 単独</v>
          </cell>
          <cell r="H1501" t="str">
            <v>特定環境保全公共下水道</v>
          </cell>
          <cell r="I1501" t="str">
            <v>単独</v>
          </cell>
          <cell r="J1501" t="str">
            <v>006</v>
          </cell>
          <cell r="K1501" t="str">
            <v>津井浄化センター</v>
          </cell>
          <cell r="M1501" t="str">
            <v>1</v>
          </cell>
          <cell r="N1501" t="str">
            <v>1</v>
          </cell>
          <cell r="Q1501">
            <v>38442</v>
          </cell>
          <cell r="R1501" t="str">
            <v>平成</v>
          </cell>
          <cell r="S1501">
            <v>17</v>
          </cell>
          <cell r="T1501">
            <v>3</v>
          </cell>
          <cell r="AB1501">
            <v>8600</v>
          </cell>
          <cell r="AC1501" t="str">
            <v>淡路島西部・南部海域</v>
          </cell>
          <cell r="AD1501" t="str">
            <v>Ａ</v>
          </cell>
          <cell r="AE1501" t="str">
            <v>イ</v>
          </cell>
          <cell r="AF1501">
            <v>12</v>
          </cell>
          <cell r="AG1501">
            <v>11</v>
          </cell>
          <cell r="AH1501">
            <v>1</v>
          </cell>
          <cell r="AI1501" t="str">
            <v>播磨灘</v>
          </cell>
          <cell r="AJ1501" t="str">
            <v>津井川</v>
          </cell>
          <cell r="AQ1501" t="str">
            <v/>
          </cell>
          <cell r="AR1501" t="str">
            <v>高度処理オキシディションディッチ法</v>
          </cell>
          <cell r="AS1501" t="str">
            <v>2822402006</v>
          </cell>
          <cell r="AT1501" t="str">
            <v/>
          </cell>
          <cell r="AU1501" t="str">
            <v>10</v>
          </cell>
          <cell r="AV1501" t="str">
            <v>10</v>
          </cell>
          <cell r="AW1501">
            <v>0</v>
          </cell>
          <cell r="AX1501">
            <v>0</v>
          </cell>
          <cell r="AY1501">
            <v>0</v>
          </cell>
          <cell r="AZ1501">
            <v>0</v>
          </cell>
          <cell r="BA1501">
            <v>0</v>
          </cell>
          <cell r="BD1501" t="str">
            <v/>
          </cell>
          <cell r="BE1501">
            <v>1</v>
          </cell>
          <cell r="BG1501" t="str">
            <v>1100</v>
          </cell>
        </row>
        <row r="1502">
          <cell r="B1502" t="str">
            <v>G282240206100700</v>
          </cell>
          <cell r="C1502" t="str">
            <v>28.兵庫県</v>
          </cell>
          <cell r="D1502" t="str">
            <v>224</v>
          </cell>
          <cell r="E1502" t="str">
            <v>南あわじ市</v>
          </cell>
          <cell r="F1502" t="str">
            <v>02</v>
          </cell>
          <cell r="G1502" t="str">
            <v>特環 単独</v>
          </cell>
          <cell r="H1502" t="str">
            <v>特定環境保全公共下水道</v>
          </cell>
          <cell r="I1502" t="str">
            <v>単独</v>
          </cell>
          <cell r="J1502" t="str">
            <v>007</v>
          </cell>
          <cell r="K1502" t="str">
            <v>賀集浄化センター</v>
          </cell>
          <cell r="M1502" t="str">
            <v>1</v>
          </cell>
          <cell r="N1502" t="str">
            <v>1</v>
          </cell>
          <cell r="Q1502">
            <v>38442</v>
          </cell>
          <cell r="R1502" t="str">
            <v>平成</v>
          </cell>
          <cell r="S1502">
            <v>17</v>
          </cell>
          <cell r="T1502">
            <v>3</v>
          </cell>
          <cell r="AB1502">
            <v>13878</v>
          </cell>
          <cell r="AF1502">
            <v>12</v>
          </cell>
          <cell r="AG1502">
            <v>11</v>
          </cell>
          <cell r="AH1502">
            <v>1</v>
          </cell>
          <cell r="AI1502" t="str">
            <v>播磨灘</v>
          </cell>
          <cell r="AJ1502" t="str">
            <v>大日川</v>
          </cell>
          <cell r="AQ1502" t="str">
            <v/>
          </cell>
          <cell r="AR1502" t="str">
            <v>高度処理オキシディションディッチ法</v>
          </cell>
          <cell r="AS1502" t="str">
            <v>2822402007</v>
          </cell>
          <cell r="AT1502" t="str">
            <v/>
          </cell>
          <cell r="AU1502" t="str">
            <v>10</v>
          </cell>
          <cell r="AV1502" t="str">
            <v>10</v>
          </cell>
          <cell r="AW1502">
            <v>0</v>
          </cell>
          <cell r="AX1502">
            <v>0</v>
          </cell>
          <cell r="AY1502">
            <v>0</v>
          </cell>
          <cell r="AZ1502">
            <v>0</v>
          </cell>
          <cell r="BA1502">
            <v>0</v>
          </cell>
          <cell r="BD1502" t="str">
            <v/>
          </cell>
          <cell r="BE1502">
            <v>1</v>
          </cell>
          <cell r="BG1502" t="str">
            <v>1100</v>
          </cell>
        </row>
        <row r="1503">
          <cell r="B1503" t="str">
            <v>G282240206100800</v>
          </cell>
          <cell r="C1503" t="str">
            <v>28.兵庫県</v>
          </cell>
          <cell r="D1503" t="str">
            <v>224</v>
          </cell>
          <cell r="E1503" t="str">
            <v>南あわじ市</v>
          </cell>
          <cell r="F1503" t="str">
            <v>02</v>
          </cell>
          <cell r="G1503" t="str">
            <v>特環 単独</v>
          </cell>
          <cell r="H1503" t="str">
            <v>特定環境保全公共下水道</v>
          </cell>
          <cell r="I1503" t="str">
            <v>単独</v>
          </cell>
          <cell r="J1503" t="str">
            <v>008</v>
          </cell>
          <cell r="K1503" t="str">
            <v>福良浄化センター</v>
          </cell>
          <cell r="M1503" t="str">
            <v>1</v>
          </cell>
          <cell r="N1503" t="str">
            <v>1</v>
          </cell>
          <cell r="Q1503">
            <v>38442</v>
          </cell>
          <cell r="R1503" t="str">
            <v>平成</v>
          </cell>
          <cell r="S1503">
            <v>17</v>
          </cell>
          <cell r="T1503">
            <v>3</v>
          </cell>
          <cell r="AB1503">
            <v>12316</v>
          </cell>
          <cell r="AF1503">
            <v>12</v>
          </cell>
          <cell r="AG1503">
            <v>11</v>
          </cell>
          <cell r="AH1503">
            <v>1</v>
          </cell>
          <cell r="AI1503" t="str">
            <v>播磨灘（福良港）</v>
          </cell>
          <cell r="AQ1503" t="str">
            <v/>
          </cell>
          <cell r="AR1503" t="str">
            <v>高度処理オキシディションディッチ法</v>
          </cell>
          <cell r="AS1503" t="str">
            <v>2822402008</v>
          </cell>
          <cell r="AT1503" t="str">
            <v/>
          </cell>
          <cell r="AU1503" t="str">
            <v>10</v>
          </cell>
          <cell r="AV1503" t="str">
            <v>10</v>
          </cell>
          <cell r="AW1503">
            <v>0</v>
          </cell>
          <cell r="AX1503">
            <v>0</v>
          </cell>
          <cell r="AY1503">
            <v>0</v>
          </cell>
          <cell r="AZ1503">
            <v>0</v>
          </cell>
          <cell r="BA1503">
            <v>0</v>
          </cell>
          <cell r="BD1503" t="str">
            <v/>
          </cell>
          <cell r="BE1503">
            <v>1</v>
          </cell>
          <cell r="BG1503" t="str">
            <v>1100</v>
          </cell>
        </row>
        <row r="1504">
          <cell r="B1504" t="str">
            <v>G282240206100900</v>
          </cell>
          <cell r="C1504" t="str">
            <v>28.兵庫県</v>
          </cell>
          <cell r="D1504" t="str">
            <v>224</v>
          </cell>
          <cell r="E1504" t="str">
            <v>南あわじ市</v>
          </cell>
          <cell r="F1504" t="str">
            <v>02</v>
          </cell>
          <cell r="G1504" t="str">
            <v>特環 単独</v>
          </cell>
          <cell r="H1504" t="str">
            <v>特定環境保全公共下水道</v>
          </cell>
          <cell r="I1504" t="str">
            <v>単独</v>
          </cell>
          <cell r="J1504" t="str">
            <v>009</v>
          </cell>
          <cell r="K1504" t="str">
            <v>松帆・湊浄化ｾﾝﾀｰ</v>
          </cell>
          <cell r="M1504" t="str">
            <v>1</v>
          </cell>
          <cell r="Q1504">
            <v>40633</v>
          </cell>
          <cell r="R1504" t="str">
            <v>平成</v>
          </cell>
          <cell r="S1504">
            <v>23</v>
          </cell>
          <cell r="T1504">
            <v>3</v>
          </cell>
          <cell r="AB1504">
            <v>34401</v>
          </cell>
          <cell r="AC1504" t="str">
            <v>淡路島西部・南部</v>
          </cell>
          <cell r="AD1504" t="str">
            <v>Ａ</v>
          </cell>
          <cell r="AE1504" t="str">
            <v>イ</v>
          </cell>
          <cell r="AF1504">
            <v>12</v>
          </cell>
          <cell r="AG1504">
            <v>11</v>
          </cell>
          <cell r="AH1504">
            <v>1</v>
          </cell>
          <cell r="AI1504" t="str">
            <v>播磨灘</v>
          </cell>
          <cell r="AJ1504" t="str">
            <v>大日川</v>
          </cell>
          <cell r="AQ1504" t="str">
            <v/>
          </cell>
          <cell r="AR1504" t="str">
            <v>高度処理オキシディションディッチ法</v>
          </cell>
          <cell r="AS1504" t="str">
            <v>2822402009</v>
          </cell>
          <cell r="AT1504" t="str">
            <v/>
          </cell>
          <cell r="AU1504" t="str">
            <v>00</v>
          </cell>
          <cell r="AV1504" t="str">
            <v>00</v>
          </cell>
          <cell r="AW1504">
            <v>0</v>
          </cell>
          <cell r="AX1504">
            <v>0</v>
          </cell>
          <cell r="AY1504">
            <v>0</v>
          </cell>
          <cell r="AZ1504">
            <v>0</v>
          </cell>
          <cell r="BA1504">
            <v>0</v>
          </cell>
          <cell r="BD1504" t="str">
            <v/>
          </cell>
          <cell r="BE1504">
            <v>1</v>
          </cell>
          <cell r="BG1504" t="str">
            <v>1000</v>
          </cell>
        </row>
        <row r="1505">
          <cell r="B1505" t="str">
            <v>G282250106100100</v>
          </cell>
          <cell r="C1505" t="str">
            <v>28.兵庫県</v>
          </cell>
          <cell r="D1505" t="str">
            <v>225</v>
          </cell>
          <cell r="E1505" t="str">
            <v>朝来市</v>
          </cell>
          <cell r="F1505" t="str">
            <v>01</v>
          </cell>
          <cell r="G1505" t="str">
            <v>公共 単独</v>
          </cell>
          <cell r="H1505" t="str">
            <v>公共下水道</v>
          </cell>
          <cell r="I1505" t="str">
            <v>単独</v>
          </cell>
          <cell r="J1505" t="str">
            <v>001</v>
          </cell>
          <cell r="K1505" t="str">
            <v>和田山浄化センター</v>
          </cell>
          <cell r="M1505" t="str">
            <v>1</v>
          </cell>
          <cell r="N1505" t="str">
            <v>1</v>
          </cell>
          <cell r="Q1505">
            <v>35034</v>
          </cell>
          <cell r="R1505" t="str">
            <v>平成</v>
          </cell>
          <cell r="S1505">
            <v>7</v>
          </cell>
          <cell r="T1505">
            <v>12</v>
          </cell>
          <cell r="AB1505">
            <v>13200</v>
          </cell>
          <cell r="AC1505" t="str">
            <v>円山川</v>
          </cell>
          <cell r="AD1505" t="str">
            <v>Ａ</v>
          </cell>
          <cell r="AE1505" t="str">
            <v>ロ</v>
          </cell>
          <cell r="AG1505">
            <v>20</v>
          </cell>
          <cell r="AI1505" t="str">
            <v>土田用水路</v>
          </cell>
          <cell r="AK1505" t="str">
            <v>円山川</v>
          </cell>
          <cell r="AQ1505" t="str">
            <v/>
          </cell>
          <cell r="AR1505" t="str">
            <v>オキシディションディッチ法</v>
          </cell>
          <cell r="AS1505" t="str">
            <v>2822501001</v>
          </cell>
          <cell r="AT1505" t="str">
            <v/>
          </cell>
          <cell r="AU1505" t="str">
            <v>10</v>
          </cell>
          <cell r="AV1505" t="str">
            <v>10</v>
          </cell>
          <cell r="AW1505">
            <v>0</v>
          </cell>
          <cell r="AX1505">
            <v>0</v>
          </cell>
          <cell r="AY1505">
            <v>0</v>
          </cell>
          <cell r="AZ1505">
            <v>0</v>
          </cell>
          <cell r="BA1505">
            <v>0</v>
          </cell>
          <cell r="BD1505" t="str">
            <v/>
          </cell>
          <cell r="BE1505">
            <v>1</v>
          </cell>
          <cell r="BG1505" t="str">
            <v>1100</v>
          </cell>
        </row>
        <row r="1506">
          <cell r="B1506" t="str">
            <v>G282250206100200</v>
          </cell>
          <cell r="C1506" t="str">
            <v>28.兵庫県</v>
          </cell>
          <cell r="D1506" t="str">
            <v>225</v>
          </cell>
          <cell r="E1506" t="str">
            <v>朝来市</v>
          </cell>
          <cell r="F1506" t="str">
            <v>02</v>
          </cell>
          <cell r="G1506" t="str">
            <v>特環 単独</v>
          </cell>
          <cell r="H1506" t="str">
            <v>特定環境保全公共下水道</v>
          </cell>
          <cell r="I1506" t="str">
            <v>単独</v>
          </cell>
          <cell r="J1506" t="str">
            <v>002</v>
          </cell>
          <cell r="K1506" t="str">
            <v>中部浄化センター</v>
          </cell>
          <cell r="M1506" t="str">
            <v>1</v>
          </cell>
          <cell r="N1506" t="str">
            <v>1</v>
          </cell>
          <cell r="Q1506">
            <v>34425</v>
          </cell>
          <cell r="R1506" t="str">
            <v>平成</v>
          </cell>
          <cell r="S1506">
            <v>6</v>
          </cell>
          <cell r="T1506">
            <v>4</v>
          </cell>
          <cell r="AB1506">
            <v>1807</v>
          </cell>
          <cell r="AC1506" t="str">
            <v>円山川</v>
          </cell>
          <cell r="AD1506" t="str">
            <v>Ａ</v>
          </cell>
          <cell r="AE1506" t="str">
            <v>ロ</v>
          </cell>
          <cell r="AF1506">
            <v>15</v>
          </cell>
          <cell r="AI1506" t="str">
            <v>与布土川</v>
          </cell>
          <cell r="AK1506" t="str">
            <v>円山川</v>
          </cell>
          <cell r="AN1506">
            <v>1</v>
          </cell>
          <cell r="AO1506" t="str">
            <v>朝来市</v>
          </cell>
          <cell r="AQ1506" t="str">
            <v/>
          </cell>
          <cell r="AR1506" t="str">
            <v>回分式活性汚泥法</v>
          </cell>
          <cell r="AS1506" t="str">
            <v>2822502002</v>
          </cell>
          <cell r="AT1506" t="str">
            <v/>
          </cell>
          <cell r="AU1506" t="str">
            <v>10</v>
          </cell>
          <cell r="AV1506" t="str">
            <v>10</v>
          </cell>
          <cell r="AW1506">
            <v>0</v>
          </cell>
          <cell r="AX1506">
            <v>0</v>
          </cell>
          <cell r="AY1506">
            <v>0</v>
          </cell>
          <cell r="AZ1506">
            <v>0</v>
          </cell>
          <cell r="BA1506">
            <v>0</v>
          </cell>
          <cell r="BD1506" t="str">
            <v/>
          </cell>
          <cell r="BE1506">
            <v>1</v>
          </cell>
          <cell r="BG1506" t="str">
            <v>1100</v>
          </cell>
        </row>
        <row r="1507">
          <cell r="B1507" t="str">
            <v>G282250206100300</v>
          </cell>
          <cell r="C1507" t="str">
            <v>28.兵庫県</v>
          </cell>
          <cell r="D1507" t="str">
            <v>225</v>
          </cell>
          <cell r="E1507" t="str">
            <v>朝来市</v>
          </cell>
          <cell r="F1507" t="str">
            <v>02</v>
          </cell>
          <cell r="G1507" t="str">
            <v>特環 単独</v>
          </cell>
          <cell r="H1507" t="str">
            <v>特定環境保全公共下水道</v>
          </cell>
          <cell r="I1507" t="str">
            <v>単独</v>
          </cell>
          <cell r="J1507" t="str">
            <v>003</v>
          </cell>
          <cell r="K1507" t="str">
            <v>東河浄化センター</v>
          </cell>
          <cell r="M1507" t="str">
            <v>1</v>
          </cell>
          <cell r="N1507" t="str">
            <v>1</v>
          </cell>
          <cell r="Q1507">
            <v>35674</v>
          </cell>
          <cell r="R1507" t="str">
            <v>平成</v>
          </cell>
          <cell r="S1507">
            <v>9</v>
          </cell>
          <cell r="T1507">
            <v>9</v>
          </cell>
          <cell r="AB1507">
            <v>3500</v>
          </cell>
          <cell r="AC1507" t="str">
            <v>円山川</v>
          </cell>
          <cell r="AD1507" t="str">
            <v>Ａ</v>
          </cell>
          <cell r="AE1507" t="str">
            <v>ロ</v>
          </cell>
          <cell r="AF1507">
            <v>15</v>
          </cell>
          <cell r="AI1507" t="str">
            <v>東河川</v>
          </cell>
          <cell r="AK1507" t="str">
            <v>円山川</v>
          </cell>
          <cell r="AQ1507" t="str">
            <v/>
          </cell>
          <cell r="AR1507" t="str">
            <v>オキシディションディッチ法</v>
          </cell>
          <cell r="AS1507" t="str">
            <v>2822502003</v>
          </cell>
          <cell r="AT1507" t="str">
            <v/>
          </cell>
          <cell r="AU1507" t="str">
            <v>10</v>
          </cell>
          <cell r="AV1507" t="str">
            <v>10</v>
          </cell>
          <cell r="AW1507">
            <v>0</v>
          </cell>
          <cell r="AX1507">
            <v>0</v>
          </cell>
          <cell r="AY1507">
            <v>0</v>
          </cell>
          <cell r="AZ1507">
            <v>0</v>
          </cell>
          <cell r="BA1507">
            <v>0</v>
          </cell>
          <cell r="BD1507" t="str">
            <v/>
          </cell>
          <cell r="BE1507">
            <v>1</v>
          </cell>
          <cell r="BG1507" t="str">
            <v>1100</v>
          </cell>
        </row>
        <row r="1508">
          <cell r="B1508" t="str">
            <v>G282250206100400</v>
          </cell>
          <cell r="C1508" t="str">
            <v>28.兵庫県</v>
          </cell>
          <cell r="D1508" t="str">
            <v>225</v>
          </cell>
          <cell r="E1508" t="str">
            <v>朝来市</v>
          </cell>
          <cell r="F1508" t="str">
            <v>02</v>
          </cell>
          <cell r="G1508" t="str">
            <v>特環 単独</v>
          </cell>
          <cell r="H1508" t="str">
            <v>特定環境保全公共下水道</v>
          </cell>
          <cell r="I1508" t="str">
            <v>単独</v>
          </cell>
          <cell r="J1508" t="str">
            <v>004</v>
          </cell>
          <cell r="K1508" t="str">
            <v>生野浄化センター</v>
          </cell>
          <cell r="M1508" t="str">
            <v>1</v>
          </cell>
          <cell r="N1508" t="str">
            <v>1</v>
          </cell>
          <cell r="Q1508">
            <v>35886</v>
          </cell>
          <cell r="R1508" t="str">
            <v>平成</v>
          </cell>
          <cell r="S1508">
            <v>10</v>
          </cell>
          <cell r="T1508">
            <v>4</v>
          </cell>
          <cell r="AB1508">
            <v>9600</v>
          </cell>
          <cell r="AC1508" t="str">
            <v>市川</v>
          </cell>
          <cell r="AD1508" t="str">
            <v>Ａ</v>
          </cell>
          <cell r="AE1508" t="str">
            <v>イ</v>
          </cell>
          <cell r="AF1508">
            <v>15</v>
          </cell>
          <cell r="AJ1508" t="str">
            <v>市川</v>
          </cell>
          <cell r="AQ1508" t="str">
            <v/>
          </cell>
          <cell r="AR1508" t="str">
            <v>オキシディションディッチ法</v>
          </cell>
          <cell r="AS1508" t="str">
            <v>2822502004</v>
          </cell>
          <cell r="AT1508" t="str">
            <v/>
          </cell>
          <cell r="AU1508" t="str">
            <v>10</v>
          </cell>
          <cell r="AV1508" t="str">
            <v>10</v>
          </cell>
          <cell r="AW1508">
            <v>0</v>
          </cell>
          <cell r="AX1508">
            <v>0</v>
          </cell>
          <cell r="AY1508">
            <v>0</v>
          </cell>
          <cell r="AZ1508">
            <v>0</v>
          </cell>
          <cell r="BA1508">
            <v>0</v>
          </cell>
          <cell r="BD1508" t="str">
            <v/>
          </cell>
          <cell r="BE1508">
            <v>1</v>
          </cell>
          <cell r="BG1508" t="str">
            <v>1100</v>
          </cell>
        </row>
        <row r="1509">
          <cell r="B1509" t="str">
            <v>G282250206100500</v>
          </cell>
          <cell r="C1509" t="str">
            <v>28.兵庫県</v>
          </cell>
          <cell r="D1509" t="str">
            <v>225</v>
          </cell>
          <cell r="E1509" t="str">
            <v>朝来市</v>
          </cell>
          <cell r="F1509" t="str">
            <v>02</v>
          </cell>
          <cell r="G1509" t="str">
            <v>特環 単独</v>
          </cell>
          <cell r="H1509" t="str">
            <v>特定環境保全公共下水道</v>
          </cell>
          <cell r="I1509" t="str">
            <v>単独</v>
          </cell>
          <cell r="J1509" t="str">
            <v>005</v>
          </cell>
          <cell r="K1509" t="str">
            <v>朝来浄化センター</v>
          </cell>
          <cell r="M1509" t="str">
            <v>1</v>
          </cell>
          <cell r="N1509" t="str">
            <v>1</v>
          </cell>
          <cell r="Q1509">
            <v>35886</v>
          </cell>
          <cell r="R1509" t="str">
            <v>平成</v>
          </cell>
          <cell r="S1509">
            <v>10</v>
          </cell>
          <cell r="T1509">
            <v>4</v>
          </cell>
          <cell r="AB1509">
            <v>8291</v>
          </cell>
          <cell r="AC1509" t="str">
            <v>円山川</v>
          </cell>
          <cell r="AD1509" t="str">
            <v>Ａ</v>
          </cell>
          <cell r="AE1509" t="str">
            <v>ロ</v>
          </cell>
          <cell r="AF1509">
            <v>15</v>
          </cell>
          <cell r="AK1509" t="str">
            <v>円山川</v>
          </cell>
          <cell r="AQ1509" t="str">
            <v/>
          </cell>
          <cell r="AR1509" t="str">
            <v>オキシディションディッチ法</v>
          </cell>
          <cell r="AS1509" t="str">
            <v>2822502005</v>
          </cell>
          <cell r="AT1509" t="str">
            <v/>
          </cell>
          <cell r="AU1509" t="str">
            <v>10</v>
          </cell>
          <cell r="AV1509" t="str">
            <v>10</v>
          </cell>
          <cell r="AW1509">
            <v>0</v>
          </cell>
          <cell r="AX1509">
            <v>0</v>
          </cell>
          <cell r="AY1509">
            <v>0</v>
          </cell>
          <cell r="AZ1509">
            <v>0</v>
          </cell>
          <cell r="BA1509">
            <v>0</v>
          </cell>
          <cell r="BD1509" t="str">
            <v/>
          </cell>
          <cell r="BE1509">
            <v>1</v>
          </cell>
          <cell r="BG1509" t="str">
            <v>1100</v>
          </cell>
        </row>
        <row r="1510">
          <cell r="B1510" t="str">
            <v>G282250206100600</v>
          </cell>
          <cell r="C1510" t="str">
            <v>28.兵庫県</v>
          </cell>
          <cell r="D1510" t="str">
            <v>225</v>
          </cell>
          <cell r="E1510" t="str">
            <v>朝来市</v>
          </cell>
          <cell r="F1510" t="str">
            <v>02</v>
          </cell>
          <cell r="G1510" t="str">
            <v>特環 単独</v>
          </cell>
          <cell r="H1510" t="str">
            <v>特定環境保全公共下水道</v>
          </cell>
          <cell r="I1510" t="str">
            <v>単独</v>
          </cell>
          <cell r="J1510" t="str">
            <v>006</v>
          </cell>
          <cell r="K1510" t="str">
            <v>糸井浄化センター</v>
          </cell>
          <cell r="M1510" t="str">
            <v>1</v>
          </cell>
          <cell r="N1510" t="str">
            <v>1</v>
          </cell>
          <cell r="Q1510">
            <v>36465</v>
          </cell>
          <cell r="R1510" t="str">
            <v>平成</v>
          </cell>
          <cell r="S1510">
            <v>11</v>
          </cell>
          <cell r="T1510">
            <v>11</v>
          </cell>
          <cell r="AB1510">
            <v>2990</v>
          </cell>
          <cell r="AC1510" t="str">
            <v>円山川</v>
          </cell>
          <cell r="AD1510" t="str">
            <v>Ａ</v>
          </cell>
          <cell r="AE1510" t="str">
            <v>ロ</v>
          </cell>
          <cell r="AF1510">
            <v>10</v>
          </cell>
          <cell r="AI1510" t="str">
            <v>糸井川</v>
          </cell>
          <cell r="AK1510" t="str">
            <v>円山川</v>
          </cell>
          <cell r="AN1510">
            <v>0.2</v>
          </cell>
          <cell r="AO1510" t="str">
            <v>朝来市</v>
          </cell>
          <cell r="AQ1510" t="str">
            <v/>
          </cell>
          <cell r="AR1510" t="str">
            <v>高度処理オキシディションディッチ法</v>
          </cell>
          <cell r="AS1510" t="str">
            <v>2822502006</v>
          </cell>
          <cell r="AT1510" t="str">
            <v/>
          </cell>
          <cell r="AU1510" t="str">
            <v>10</v>
          </cell>
          <cell r="AV1510" t="str">
            <v>10</v>
          </cell>
          <cell r="AW1510">
            <v>0</v>
          </cell>
          <cell r="AX1510">
            <v>0</v>
          </cell>
          <cell r="AY1510">
            <v>0</v>
          </cell>
          <cell r="AZ1510">
            <v>0</v>
          </cell>
          <cell r="BA1510">
            <v>0</v>
          </cell>
          <cell r="BD1510" t="str">
            <v/>
          </cell>
          <cell r="BE1510">
            <v>1</v>
          </cell>
          <cell r="BG1510" t="str">
            <v>1100</v>
          </cell>
        </row>
        <row r="1511">
          <cell r="B1511" t="str">
            <v>G282260106100100</v>
          </cell>
          <cell r="C1511" t="str">
            <v>28.兵庫県</v>
          </cell>
          <cell r="D1511" t="str">
            <v>226</v>
          </cell>
          <cell r="E1511" t="str">
            <v>淡路市</v>
          </cell>
          <cell r="F1511" t="str">
            <v>01</v>
          </cell>
          <cell r="G1511" t="str">
            <v>公共 単独</v>
          </cell>
          <cell r="H1511" t="str">
            <v>公共下水道</v>
          </cell>
          <cell r="I1511" t="str">
            <v>単独</v>
          </cell>
          <cell r="J1511" t="str">
            <v>001</v>
          </cell>
          <cell r="K1511" t="str">
            <v>淡路・東浦浄化センター</v>
          </cell>
          <cell r="M1511" t="str">
            <v>1</v>
          </cell>
          <cell r="N1511" t="str">
            <v>1</v>
          </cell>
          <cell r="P1511" t="str">
            <v>1</v>
          </cell>
          <cell r="Q1511">
            <v>35855</v>
          </cell>
          <cell r="R1511" t="str">
            <v>平成</v>
          </cell>
          <cell r="S1511">
            <v>10</v>
          </cell>
          <cell r="T1511">
            <v>3</v>
          </cell>
          <cell r="AB1511">
            <v>13946</v>
          </cell>
          <cell r="AC1511" t="str">
            <v>大阪湾</v>
          </cell>
          <cell r="AD1511" t="str">
            <v>Ａ</v>
          </cell>
          <cell r="AE1511" t="str">
            <v>イ</v>
          </cell>
          <cell r="AF1511">
            <v>8</v>
          </cell>
          <cell r="AG1511">
            <v>20</v>
          </cell>
          <cell r="AH1511">
            <v>1</v>
          </cell>
          <cell r="AI1511" t="str">
            <v>大阪湾</v>
          </cell>
          <cell r="AQ1511" t="str">
            <v/>
          </cell>
          <cell r="AR1511" t="str">
            <v>循環式硝化脱窒法</v>
          </cell>
          <cell r="AS1511" t="str">
            <v>2822601001</v>
          </cell>
          <cell r="AT1511" t="str">
            <v/>
          </cell>
          <cell r="AU1511" t="str">
            <v>10</v>
          </cell>
          <cell r="AV1511" t="str">
            <v>10</v>
          </cell>
          <cell r="AW1511">
            <v>1</v>
          </cell>
          <cell r="AX1511">
            <v>0</v>
          </cell>
          <cell r="AY1511">
            <v>0</v>
          </cell>
          <cell r="AZ1511">
            <v>0</v>
          </cell>
          <cell r="BA1511">
            <v>0</v>
          </cell>
          <cell r="BD1511" t="str">
            <v/>
          </cell>
          <cell r="BE1511">
            <v>1</v>
          </cell>
          <cell r="BG1511" t="str">
            <v>1101</v>
          </cell>
        </row>
        <row r="1512">
          <cell r="B1512" t="str">
            <v>G282260106100200</v>
          </cell>
          <cell r="C1512" t="str">
            <v>28.兵庫県</v>
          </cell>
          <cell r="D1512" t="str">
            <v>226</v>
          </cell>
          <cell r="E1512" t="str">
            <v>淡路市</v>
          </cell>
          <cell r="F1512" t="str">
            <v>01</v>
          </cell>
          <cell r="G1512" t="str">
            <v>公共 単独</v>
          </cell>
          <cell r="H1512" t="str">
            <v>公共下水道</v>
          </cell>
          <cell r="I1512" t="str">
            <v>単独</v>
          </cell>
          <cell r="J1512" t="str">
            <v>002</v>
          </cell>
          <cell r="K1512" t="str">
            <v>津名浄化センター</v>
          </cell>
          <cell r="M1512" t="str">
            <v>1</v>
          </cell>
          <cell r="N1512" t="str">
            <v>1</v>
          </cell>
          <cell r="Q1512">
            <v>37347</v>
          </cell>
          <cell r="R1512" t="str">
            <v>平成</v>
          </cell>
          <cell r="S1512">
            <v>14</v>
          </cell>
          <cell r="T1512">
            <v>4</v>
          </cell>
          <cell r="AB1512">
            <v>21762</v>
          </cell>
          <cell r="AC1512" t="str">
            <v>大阪湾</v>
          </cell>
          <cell r="AD1512" t="str">
            <v>Ａ</v>
          </cell>
          <cell r="AE1512" t="str">
            <v>イ</v>
          </cell>
          <cell r="AF1512">
            <v>15</v>
          </cell>
          <cell r="AI1512" t="str">
            <v>大阪湾</v>
          </cell>
          <cell r="AQ1512" t="str">
            <v/>
          </cell>
          <cell r="AR1512" t="str">
            <v>標準活性汚泥法</v>
          </cell>
          <cell r="AS1512" t="str">
            <v>2822601002</v>
          </cell>
          <cell r="AT1512" t="str">
            <v/>
          </cell>
          <cell r="AU1512" t="str">
            <v>10</v>
          </cell>
          <cell r="AV1512" t="str">
            <v>10</v>
          </cell>
          <cell r="AW1512">
            <v>0</v>
          </cell>
          <cell r="AX1512">
            <v>0</v>
          </cell>
          <cell r="AY1512">
            <v>0</v>
          </cell>
          <cell r="AZ1512">
            <v>0</v>
          </cell>
          <cell r="BA1512">
            <v>0</v>
          </cell>
          <cell r="BD1512" t="str">
            <v/>
          </cell>
          <cell r="BE1512">
            <v>1</v>
          </cell>
          <cell r="BG1512" t="str">
            <v>1100</v>
          </cell>
        </row>
        <row r="1513">
          <cell r="B1513" t="str">
            <v>G282260206100300</v>
          </cell>
          <cell r="C1513" t="str">
            <v>28.兵庫県</v>
          </cell>
          <cell r="D1513" t="str">
            <v>226</v>
          </cell>
          <cell r="E1513" t="str">
            <v>淡路市</v>
          </cell>
          <cell r="F1513" t="str">
            <v>02</v>
          </cell>
          <cell r="G1513" t="str">
            <v>特環 単独</v>
          </cell>
          <cell r="H1513" t="str">
            <v>特定環境保全公共下水道</v>
          </cell>
          <cell r="I1513" t="str">
            <v>単独</v>
          </cell>
          <cell r="J1513" t="str">
            <v>003</v>
          </cell>
          <cell r="K1513" t="str">
            <v>北淡浄化センター</v>
          </cell>
          <cell r="M1513" t="str">
            <v>1</v>
          </cell>
          <cell r="N1513" t="str">
            <v>1</v>
          </cell>
          <cell r="Q1513">
            <v>38412</v>
          </cell>
          <cell r="R1513" t="str">
            <v>平成</v>
          </cell>
          <cell r="S1513">
            <v>17</v>
          </cell>
          <cell r="T1513">
            <v>3</v>
          </cell>
          <cell r="AB1513">
            <v>16316</v>
          </cell>
          <cell r="AC1513" t="str">
            <v>播磨灘</v>
          </cell>
          <cell r="AD1513" t="str">
            <v>Ａ</v>
          </cell>
          <cell r="AE1513" t="str">
            <v>イ</v>
          </cell>
          <cell r="AF1513">
            <v>15</v>
          </cell>
          <cell r="AG1513">
            <v>10</v>
          </cell>
          <cell r="AH1513">
            <v>1</v>
          </cell>
          <cell r="AI1513" t="str">
            <v>播磨灘</v>
          </cell>
          <cell r="AQ1513" t="str">
            <v/>
          </cell>
          <cell r="AR1513" t="str">
            <v>高度処理オキシディションディッチ法</v>
          </cell>
          <cell r="AS1513" t="str">
            <v>2822602003</v>
          </cell>
          <cell r="AT1513" t="str">
            <v/>
          </cell>
          <cell r="AU1513" t="str">
            <v>10</v>
          </cell>
          <cell r="AV1513" t="str">
            <v>10</v>
          </cell>
          <cell r="AW1513">
            <v>0</v>
          </cell>
          <cell r="AX1513">
            <v>0</v>
          </cell>
          <cell r="AY1513">
            <v>0</v>
          </cell>
          <cell r="AZ1513">
            <v>0</v>
          </cell>
          <cell r="BA1513">
            <v>0</v>
          </cell>
          <cell r="BD1513" t="str">
            <v/>
          </cell>
          <cell r="BE1513">
            <v>1</v>
          </cell>
          <cell r="BG1513" t="str">
            <v>1100</v>
          </cell>
        </row>
        <row r="1514">
          <cell r="B1514" t="str">
            <v>G282260206100400</v>
          </cell>
          <cell r="C1514" t="str">
            <v>28.兵庫県</v>
          </cell>
          <cell r="D1514" t="str">
            <v>226</v>
          </cell>
          <cell r="E1514" t="str">
            <v>淡路市</v>
          </cell>
          <cell r="F1514" t="str">
            <v>02</v>
          </cell>
          <cell r="G1514" t="str">
            <v>特環 単独</v>
          </cell>
          <cell r="H1514" t="str">
            <v>特定環境保全公共下水道</v>
          </cell>
          <cell r="I1514" t="str">
            <v>単独</v>
          </cell>
          <cell r="J1514" t="str">
            <v>004</v>
          </cell>
          <cell r="K1514" t="str">
            <v>一宮浄化センター</v>
          </cell>
          <cell r="M1514" t="str">
            <v>1</v>
          </cell>
          <cell r="N1514" t="str">
            <v>1</v>
          </cell>
          <cell r="Q1514">
            <v>38412</v>
          </cell>
          <cell r="R1514" t="str">
            <v>平成</v>
          </cell>
          <cell r="S1514">
            <v>17</v>
          </cell>
          <cell r="T1514">
            <v>3</v>
          </cell>
          <cell r="AB1514">
            <v>14292</v>
          </cell>
          <cell r="AC1514" t="str">
            <v>播磨灘</v>
          </cell>
          <cell r="AD1514" t="str">
            <v>Ａ</v>
          </cell>
          <cell r="AE1514" t="str">
            <v>イ</v>
          </cell>
          <cell r="AF1514">
            <v>12</v>
          </cell>
          <cell r="AG1514">
            <v>10</v>
          </cell>
          <cell r="AH1514">
            <v>1</v>
          </cell>
          <cell r="AI1514" t="str">
            <v>播磨灘</v>
          </cell>
          <cell r="AQ1514" t="str">
            <v/>
          </cell>
          <cell r="AR1514" t="str">
            <v>高度処理オキシディションディッチ法</v>
          </cell>
          <cell r="AS1514" t="str">
            <v>2822602004</v>
          </cell>
          <cell r="AT1514" t="str">
            <v/>
          </cell>
          <cell r="AU1514" t="str">
            <v>10</v>
          </cell>
          <cell r="AV1514" t="str">
            <v>10</v>
          </cell>
          <cell r="AW1514">
            <v>0</v>
          </cell>
          <cell r="AX1514">
            <v>0</v>
          </cell>
          <cell r="AY1514">
            <v>0</v>
          </cell>
          <cell r="AZ1514">
            <v>0</v>
          </cell>
          <cell r="BA1514">
            <v>0</v>
          </cell>
          <cell r="BD1514" t="str">
            <v/>
          </cell>
          <cell r="BE1514">
            <v>1</v>
          </cell>
          <cell r="BG1514" t="str">
            <v>1100</v>
          </cell>
        </row>
        <row r="1515">
          <cell r="B1515" t="str">
            <v>G282270206100100</v>
          </cell>
          <cell r="C1515" t="str">
            <v>28.兵庫県</v>
          </cell>
          <cell r="D1515" t="str">
            <v>227</v>
          </cell>
          <cell r="E1515" t="str">
            <v>宍粟市</v>
          </cell>
          <cell r="F1515" t="str">
            <v>02</v>
          </cell>
          <cell r="G1515" t="str">
            <v>特環 単独</v>
          </cell>
          <cell r="H1515" t="str">
            <v>特定環境保全公共下水道</v>
          </cell>
          <cell r="I1515" t="str">
            <v>単独</v>
          </cell>
          <cell r="J1515" t="str">
            <v>001</v>
          </cell>
          <cell r="K1515" t="str">
            <v>戸倉浄化センター</v>
          </cell>
          <cell r="M1515" t="str">
            <v>1</v>
          </cell>
          <cell r="N1515" t="str">
            <v>1</v>
          </cell>
          <cell r="Q1515">
            <v>33664</v>
          </cell>
          <cell r="R1515" t="str">
            <v>平成</v>
          </cell>
          <cell r="S1515">
            <v>4</v>
          </cell>
          <cell r="T1515">
            <v>3</v>
          </cell>
          <cell r="AB1515">
            <v>830</v>
          </cell>
          <cell r="AC1515" t="str">
            <v>瀬戸内海</v>
          </cell>
          <cell r="AD1515" t="str">
            <v>Ａ</v>
          </cell>
          <cell r="AE1515" t="str">
            <v>イ</v>
          </cell>
          <cell r="AF1515">
            <v>13</v>
          </cell>
          <cell r="AG1515">
            <v>12</v>
          </cell>
          <cell r="AH1515">
            <v>3</v>
          </cell>
          <cell r="AI1515" t="str">
            <v>引原川</v>
          </cell>
          <cell r="AK1515" t="str">
            <v>揖保川</v>
          </cell>
          <cell r="AL1515" t="str">
            <v>荒井取水口</v>
          </cell>
          <cell r="AN1515">
            <v>40</v>
          </cell>
          <cell r="AO1515" t="str">
            <v>宍粟市</v>
          </cell>
          <cell r="AQ1515" t="str">
            <v/>
          </cell>
          <cell r="AR1515" t="str">
            <v>オキシディションディッチ法</v>
          </cell>
          <cell r="AS1515" t="str">
            <v>2822702001</v>
          </cell>
          <cell r="AT1515" t="str">
            <v/>
          </cell>
          <cell r="AU1515" t="str">
            <v>10</v>
          </cell>
          <cell r="AV1515" t="str">
            <v>10</v>
          </cell>
          <cell r="AW1515">
            <v>0</v>
          </cell>
          <cell r="AX1515">
            <v>0</v>
          </cell>
          <cell r="AY1515">
            <v>0</v>
          </cell>
          <cell r="AZ1515">
            <v>0</v>
          </cell>
          <cell r="BA1515">
            <v>0</v>
          </cell>
          <cell r="BD1515" t="str">
            <v/>
          </cell>
          <cell r="BE1515">
            <v>1</v>
          </cell>
          <cell r="BG1515" t="str">
            <v>1100</v>
          </cell>
        </row>
        <row r="1516">
          <cell r="B1516" t="str">
            <v>G282270206100200</v>
          </cell>
          <cell r="C1516" t="str">
            <v>28.兵庫県</v>
          </cell>
          <cell r="D1516" t="str">
            <v>227</v>
          </cell>
          <cell r="E1516" t="str">
            <v>宍粟市</v>
          </cell>
          <cell r="F1516" t="str">
            <v>02</v>
          </cell>
          <cell r="G1516" t="str">
            <v>特環 単独</v>
          </cell>
          <cell r="H1516" t="str">
            <v>特定環境保全公共下水道</v>
          </cell>
          <cell r="I1516" t="str">
            <v>単独</v>
          </cell>
          <cell r="J1516" t="str">
            <v>002</v>
          </cell>
          <cell r="K1516" t="str">
            <v>原浄化センター</v>
          </cell>
          <cell r="M1516" t="str">
            <v>1</v>
          </cell>
          <cell r="N1516" t="str">
            <v>1</v>
          </cell>
          <cell r="Q1516">
            <v>34731</v>
          </cell>
          <cell r="R1516" t="str">
            <v>平成</v>
          </cell>
          <cell r="S1516">
            <v>7</v>
          </cell>
          <cell r="T1516">
            <v>2</v>
          </cell>
          <cell r="AB1516">
            <v>2044</v>
          </cell>
          <cell r="AC1516" t="str">
            <v>瀬戸内海</v>
          </cell>
          <cell r="AD1516" t="str">
            <v>Ａ</v>
          </cell>
          <cell r="AE1516" t="str">
            <v>イ</v>
          </cell>
          <cell r="AF1516">
            <v>10</v>
          </cell>
          <cell r="AG1516">
            <v>12</v>
          </cell>
          <cell r="AH1516">
            <v>3</v>
          </cell>
          <cell r="AI1516" t="str">
            <v>引原川</v>
          </cell>
          <cell r="AK1516" t="str">
            <v>揖保川</v>
          </cell>
          <cell r="AL1516" t="str">
            <v>荒井取水口</v>
          </cell>
          <cell r="AN1516">
            <v>27</v>
          </cell>
          <cell r="AO1516" t="str">
            <v>宍粟市</v>
          </cell>
          <cell r="AQ1516" t="str">
            <v/>
          </cell>
          <cell r="AR1516" t="str">
            <v>オキシディションディッチ法</v>
          </cell>
          <cell r="AS1516" t="str">
            <v>2822702002</v>
          </cell>
          <cell r="AT1516" t="str">
            <v/>
          </cell>
          <cell r="AU1516" t="str">
            <v>10</v>
          </cell>
          <cell r="AV1516" t="str">
            <v>10</v>
          </cell>
          <cell r="AW1516">
            <v>0</v>
          </cell>
          <cell r="AX1516">
            <v>0</v>
          </cell>
          <cell r="AY1516">
            <v>0</v>
          </cell>
          <cell r="AZ1516">
            <v>0</v>
          </cell>
          <cell r="BA1516">
            <v>0</v>
          </cell>
          <cell r="BD1516" t="str">
            <v/>
          </cell>
          <cell r="BE1516">
            <v>1</v>
          </cell>
          <cell r="BG1516" t="str">
            <v>1100</v>
          </cell>
        </row>
        <row r="1517">
          <cell r="B1517" t="str">
            <v>G282270206100300</v>
          </cell>
          <cell r="C1517" t="str">
            <v>28.兵庫県</v>
          </cell>
          <cell r="D1517" t="str">
            <v>227</v>
          </cell>
          <cell r="E1517" t="str">
            <v>宍粟市</v>
          </cell>
          <cell r="F1517" t="str">
            <v>02</v>
          </cell>
          <cell r="G1517" t="str">
            <v>特環 単独</v>
          </cell>
          <cell r="H1517" t="str">
            <v>特定環境保全公共下水道</v>
          </cell>
          <cell r="I1517" t="str">
            <v>単独</v>
          </cell>
          <cell r="J1517" t="str">
            <v>003</v>
          </cell>
          <cell r="K1517" t="str">
            <v>波賀中央浄化センター</v>
          </cell>
          <cell r="M1517" t="str">
            <v>1</v>
          </cell>
          <cell r="N1517" t="str">
            <v>1</v>
          </cell>
          <cell r="Q1517">
            <v>34943</v>
          </cell>
          <cell r="R1517" t="str">
            <v>平成</v>
          </cell>
          <cell r="S1517">
            <v>7</v>
          </cell>
          <cell r="T1517">
            <v>9</v>
          </cell>
          <cell r="AB1517">
            <v>5136</v>
          </cell>
          <cell r="AC1517" t="str">
            <v>瀬戸内海</v>
          </cell>
          <cell r="AD1517" t="str">
            <v>Ａ</v>
          </cell>
          <cell r="AE1517" t="str">
            <v>イ</v>
          </cell>
          <cell r="AF1517">
            <v>7</v>
          </cell>
          <cell r="AG1517">
            <v>12</v>
          </cell>
          <cell r="AH1517">
            <v>3</v>
          </cell>
          <cell r="AI1517" t="str">
            <v>引原川</v>
          </cell>
          <cell r="AK1517" t="str">
            <v>揖保川</v>
          </cell>
          <cell r="AL1517" t="str">
            <v>荒井取水口</v>
          </cell>
          <cell r="AN1517">
            <v>20</v>
          </cell>
          <cell r="AO1517" t="str">
            <v>宍粟市</v>
          </cell>
          <cell r="AQ1517" t="str">
            <v/>
          </cell>
          <cell r="AR1517" t="str">
            <v>オキシディションディッチ法</v>
          </cell>
          <cell r="AS1517" t="str">
            <v>2822702003</v>
          </cell>
          <cell r="AT1517" t="str">
            <v/>
          </cell>
          <cell r="AU1517" t="str">
            <v>10</v>
          </cell>
          <cell r="AV1517" t="str">
            <v>10</v>
          </cell>
          <cell r="AW1517">
            <v>0</v>
          </cell>
          <cell r="AX1517">
            <v>0</v>
          </cell>
          <cell r="AY1517">
            <v>0</v>
          </cell>
          <cell r="AZ1517">
            <v>0</v>
          </cell>
          <cell r="BA1517">
            <v>0</v>
          </cell>
          <cell r="BD1517" t="str">
            <v/>
          </cell>
          <cell r="BE1517">
            <v>1</v>
          </cell>
          <cell r="BG1517" t="str">
            <v>1100</v>
          </cell>
        </row>
        <row r="1518">
          <cell r="B1518" t="str">
            <v>G282270206100400</v>
          </cell>
          <cell r="C1518" t="str">
            <v>28.兵庫県</v>
          </cell>
          <cell r="D1518" t="str">
            <v>227</v>
          </cell>
          <cell r="E1518" t="str">
            <v>宍粟市</v>
          </cell>
          <cell r="F1518" t="str">
            <v>02</v>
          </cell>
          <cell r="G1518" t="str">
            <v>特環 単独</v>
          </cell>
          <cell r="H1518" t="str">
            <v>特定環境保全公共下水道</v>
          </cell>
          <cell r="I1518" t="str">
            <v>単独</v>
          </cell>
          <cell r="J1518" t="str">
            <v>004</v>
          </cell>
          <cell r="K1518" t="str">
            <v>染河内浄化センター</v>
          </cell>
          <cell r="M1518" t="str">
            <v>1</v>
          </cell>
          <cell r="N1518" t="str">
            <v>1</v>
          </cell>
          <cell r="Q1518">
            <v>35125</v>
          </cell>
          <cell r="R1518" t="str">
            <v>平成</v>
          </cell>
          <cell r="S1518">
            <v>8</v>
          </cell>
          <cell r="T1518">
            <v>3</v>
          </cell>
          <cell r="AB1518">
            <v>3576</v>
          </cell>
          <cell r="AC1518" t="str">
            <v>瀬戸内海</v>
          </cell>
          <cell r="AD1518" t="str">
            <v>Ａ</v>
          </cell>
          <cell r="AE1518" t="str">
            <v>イ</v>
          </cell>
          <cell r="AI1518" t="str">
            <v>染河内川</v>
          </cell>
          <cell r="AK1518" t="str">
            <v>揖保川</v>
          </cell>
          <cell r="AL1518" t="str">
            <v>荒井取水口</v>
          </cell>
          <cell r="AN1518">
            <v>18</v>
          </cell>
          <cell r="AO1518" t="str">
            <v>宍粟市</v>
          </cell>
          <cell r="AQ1518" t="str">
            <v/>
          </cell>
          <cell r="AR1518" t="str">
            <v>オキシディションディッチ法</v>
          </cell>
          <cell r="AS1518" t="str">
            <v>2822702004</v>
          </cell>
          <cell r="AT1518" t="str">
            <v/>
          </cell>
          <cell r="AU1518" t="str">
            <v>10</v>
          </cell>
          <cell r="AV1518" t="str">
            <v>10</v>
          </cell>
          <cell r="AW1518">
            <v>0</v>
          </cell>
          <cell r="AX1518">
            <v>0</v>
          </cell>
          <cell r="AY1518">
            <v>0</v>
          </cell>
          <cell r="AZ1518">
            <v>0</v>
          </cell>
          <cell r="BA1518">
            <v>0</v>
          </cell>
          <cell r="BD1518" t="str">
            <v/>
          </cell>
          <cell r="BE1518">
            <v>1</v>
          </cell>
          <cell r="BG1518" t="str">
            <v>1100</v>
          </cell>
        </row>
        <row r="1519">
          <cell r="B1519" t="str">
            <v>G282270206100500</v>
          </cell>
          <cell r="C1519" t="str">
            <v>28.兵庫県</v>
          </cell>
          <cell r="D1519" t="str">
            <v>227</v>
          </cell>
          <cell r="E1519" t="str">
            <v>宍粟市</v>
          </cell>
          <cell r="F1519" t="str">
            <v>02</v>
          </cell>
          <cell r="G1519" t="str">
            <v>特環 単独</v>
          </cell>
          <cell r="H1519" t="str">
            <v>特定環境保全公共下水道</v>
          </cell>
          <cell r="I1519" t="str">
            <v>単独</v>
          </cell>
          <cell r="J1519" t="str">
            <v>005</v>
          </cell>
          <cell r="K1519" t="str">
            <v>道谷浄化センター</v>
          </cell>
          <cell r="M1519" t="str">
            <v>1</v>
          </cell>
          <cell r="N1519" t="str">
            <v>1</v>
          </cell>
          <cell r="Q1519">
            <v>35125</v>
          </cell>
          <cell r="R1519" t="str">
            <v>平成</v>
          </cell>
          <cell r="S1519">
            <v>8</v>
          </cell>
          <cell r="T1519">
            <v>3</v>
          </cell>
          <cell r="AB1519">
            <v>1345</v>
          </cell>
          <cell r="AC1519" t="str">
            <v>瀬戸内海</v>
          </cell>
          <cell r="AD1519" t="str">
            <v>Ａ</v>
          </cell>
          <cell r="AE1519" t="str">
            <v>イ</v>
          </cell>
          <cell r="AF1519">
            <v>15</v>
          </cell>
          <cell r="AG1519">
            <v>12</v>
          </cell>
          <cell r="AH1519">
            <v>3</v>
          </cell>
          <cell r="AI1519" t="str">
            <v>引原川</v>
          </cell>
          <cell r="AK1519" t="str">
            <v>揖保川</v>
          </cell>
          <cell r="AL1519" t="str">
            <v>荒井取水口</v>
          </cell>
          <cell r="AN1519">
            <v>40</v>
          </cell>
          <cell r="AO1519" t="str">
            <v>宍粟市</v>
          </cell>
          <cell r="AQ1519" t="str">
            <v/>
          </cell>
          <cell r="AR1519" t="str">
            <v>オキシディションディッチ法</v>
          </cell>
          <cell r="AS1519" t="str">
            <v>2822702005</v>
          </cell>
          <cell r="AT1519" t="str">
            <v/>
          </cell>
          <cell r="AU1519" t="str">
            <v>10</v>
          </cell>
          <cell r="AV1519" t="str">
            <v>10</v>
          </cell>
          <cell r="AW1519">
            <v>0</v>
          </cell>
          <cell r="AX1519">
            <v>0</v>
          </cell>
          <cell r="AY1519">
            <v>0</v>
          </cell>
          <cell r="AZ1519">
            <v>0</v>
          </cell>
          <cell r="BA1519">
            <v>0</v>
          </cell>
          <cell r="BD1519" t="str">
            <v/>
          </cell>
          <cell r="BE1519">
            <v>1</v>
          </cell>
          <cell r="BG1519" t="str">
            <v>1100</v>
          </cell>
        </row>
        <row r="1520">
          <cell r="B1520" t="str">
            <v>G282270206100600</v>
          </cell>
          <cell r="C1520" t="str">
            <v>28.兵庫県</v>
          </cell>
          <cell r="D1520" t="str">
            <v>227</v>
          </cell>
          <cell r="E1520" t="str">
            <v>宍粟市</v>
          </cell>
          <cell r="F1520" t="str">
            <v>02</v>
          </cell>
          <cell r="G1520" t="str">
            <v>特環 単独</v>
          </cell>
          <cell r="H1520" t="str">
            <v>特定環境保全公共下水道</v>
          </cell>
          <cell r="I1520" t="str">
            <v>単独</v>
          </cell>
          <cell r="J1520" t="str">
            <v>006</v>
          </cell>
          <cell r="K1520" t="str">
            <v>鹿伏浄化センター</v>
          </cell>
          <cell r="M1520" t="str">
            <v>1</v>
          </cell>
          <cell r="N1520" t="str">
            <v>1</v>
          </cell>
          <cell r="Q1520">
            <v>35400</v>
          </cell>
          <cell r="R1520" t="str">
            <v>平成</v>
          </cell>
          <cell r="S1520">
            <v>8</v>
          </cell>
          <cell r="T1520">
            <v>12</v>
          </cell>
          <cell r="AB1520">
            <v>1736</v>
          </cell>
          <cell r="AC1520" t="str">
            <v>瀬戸内海</v>
          </cell>
          <cell r="AD1520" t="str">
            <v>Ａ</v>
          </cell>
          <cell r="AE1520" t="str">
            <v>イ</v>
          </cell>
          <cell r="AF1520">
            <v>15</v>
          </cell>
          <cell r="AI1520" t="str">
            <v>引原川</v>
          </cell>
          <cell r="AK1520" t="str">
            <v>揖保川</v>
          </cell>
          <cell r="AL1520" t="str">
            <v>荒井取水口</v>
          </cell>
          <cell r="AN1520">
            <v>37</v>
          </cell>
          <cell r="AO1520" t="str">
            <v>宍粟市</v>
          </cell>
          <cell r="AQ1520" t="str">
            <v/>
          </cell>
          <cell r="AR1520" t="str">
            <v>オキシディションディッチ法</v>
          </cell>
          <cell r="AS1520" t="str">
            <v>2822702006</v>
          </cell>
          <cell r="AT1520" t="str">
            <v/>
          </cell>
          <cell r="AU1520" t="str">
            <v>10</v>
          </cell>
          <cell r="AV1520" t="str">
            <v>10</v>
          </cell>
          <cell r="AW1520">
            <v>0</v>
          </cell>
          <cell r="AX1520">
            <v>0</v>
          </cell>
          <cell r="AY1520">
            <v>0</v>
          </cell>
          <cell r="AZ1520">
            <v>0</v>
          </cell>
          <cell r="BA1520">
            <v>0</v>
          </cell>
          <cell r="BD1520" t="str">
            <v/>
          </cell>
          <cell r="BE1520">
            <v>1</v>
          </cell>
          <cell r="BG1520" t="str">
            <v>1100</v>
          </cell>
        </row>
        <row r="1521">
          <cell r="B1521" t="str">
            <v>G282270206100700</v>
          </cell>
          <cell r="C1521" t="str">
            <v>28.兵庫県</v>
          </cell>
          <cell r="D1521" t="str">
            <v>227</v>
          </cell>
          <cell r="E1521" t="str">
            <v>宍粟市</v>
          </cell>
          <cell r="F1521" t="str">
            <v>02</v>
          </cell>
          <cell r="G1521" t="str">
            <v>特環 単独</v>
          </cell>
          <cell r="H1521" t="str">
            <v>特定環境保全公共下水道</v>
          </cell>
          <cell r="I1521" t="str">
            <v>単独</v>
          </cell>
          <cell r="J1521" t="str">
            <v>007</v>
          </cell>
          <cell r="K1521" t="str">
            <v>千種中央浄化センター</v>
          </cell>
          <cell r="M1521" t="str">
            <v>1</v>
          </cell>
          <cell r="N1521" t="str">
            <v>1</v>
          </cell>
          <cell r="Q1521">
            <v>36251</v>
          </cell>
          <cell r="R1521" t="str">
            <v>平成</v>
          </cell>
          <cell r="S1521">
            <v>11</v>
          </cell>
          <cell r="T1521">
            <v>4</v>
          </cell>
          <cell r="AB1521">
            <v>8536</v>
          </cell>
          <cell r="AC1521" t="str">
            <v>瀬戸内海</v>
          </cell>
          <cell r="AD1521" t="str">
            <v>Ａ</v>
          </cell>
          <cell r="AE1521" t="str">
            <v>イ</v>
          </cell>
          <cell r="AF1521">
            <v>15</v>
          </cell>
          <cell r="AG1521">
            <v>12</v>
          </cell>
          <cell r="AH1521">
            <v>3</v>
          </cell>
          <cell r="AJ1521" t="str">
            <v>千種川</v>
          </cell>
          <cell r="AQ1521" t="str">
            <v/>
          </cell>
          <cell r="AR1521" t="str">
            <v>オキシディションディッチ法</v>
          </cell>
          <cell r="AS1521" t="str">
            <v>2822702007</v>
          </cell>
          <cell r="AT1521" t="str">
            <v/>
          </cell>
          <cell r="AU1521" t="str">
            <v>10</v>
          </cell>
          <cell r="AV1521" t="str">
            <v>10</v>
          </cell>
          <cell r="AW1521">
            <v>0</v>
          </cell>
          <cell r="AX1521">
            <v>0</v>
          </cell>
          <cell r="AY1521">
            <v>0</v>
          </cell>
          <cell r="AZ1521">
            <v>0</v>
          </cell>
          <cell r="BA1521">
            <v>0</v>
          </cell>
          <cell r="BD1521" t="str">
            <v/>
          </cell>
          <cell r="BE1521">
            <v>1</v>
          </cell>
          <cell r="BG1521" t="str">
            <v>1100</v>
          </cell>
        </row>
        <row r="1522">
          <cell r="B1522" t="str">
            <v>G282270206100800</v>
          </cell>
          <cell r="C1522" t="str">
            <v>28.兵庫県</v>
          </cell>
          <cell r="D1522" t="str">
            <v>227</v>
          </cell>
          <cell r="E1522" t="str">
            <v>宍粟市</v>
          </cell>
          <cell r="F1522" t="str">
            <v>02</v>
          </cell>
          <cell r="G1522" t="str">
            <v>特環 単独</v>
          </cell>
          <cell r="H1522" t="str">
            <v>特定環境保全公共下水道</v>
          </cell>
          <cell r="I1522" t="str">
            <v>単独</v>
          </cell>
          <cell r="J1522" t="str">
            <v>008</v>
          </cell>
          <cell r="K1522" t="str">
            <v>ちくさ高原浄化センター</v>
          </cell>
          <cell r="M1522" t="str">
            <v>1</v>
          </cell>
          <cell r="N1522" t="str">
            <v>1</v>
          </cell>
          <cell r="Q1522">
            <v>36495</v>
          </cell>
          <cell r="R1522" t="str">
            <v>平成</v>
          </cell>
          <cell r="S1522">
            <v>11</v>
          </cell>
          <cell r="T1522">
            <v>12</v>
          </cell>
          <cell r="AB1522">
            <v>2480</v>
          </cell>
          <cell r="AC1522" t="str">
            <v>瀬戸内海</v>
          </cell>
          <cell r="AD1522" t="str">
            <v>ＡＡ</v>
          </cell>
          <cell r="AE1522" t="str">
            <v>イ</v>
          </cell>
          <cell r="AF1522">
            <v>4</v>
          </cell>
          <cell r="AI1522" t="str">
            <v>鍋ヶ谷川</v>
          </cell>
          <cell r="AJ1522" t="str">
            <v>千種川</v>
          </cell>
          <cell r="AQ1522" t="str">
            <v/>
          </cell>
          <cell r="AR1522" t="str">
            <v>回分式活性汚泥法</v>
          </cell>
          <cell r="AS1522" t="str">
            <v>2822702008</v>
          </cell>
          <cell r="AT1522" t="str">
            <v/>
          </cell>
          <cell r="AU1522" t="str">
            <v>10</v>
          </cell>
          <cell r="AV1522" t="str">
            <v>10</v>
          </cell>
          <cell r="AW1522">
            <v>0</v>
          </cell>
          <cell r="AX1522">
            <v>0</v>
          </cell>
          <cell r="AY1522">
            <v>0</v>
          </cell>
          <cell r="AZ1522">
            <v>0</v>
          </cell>
          <cell r="BA1522">
            <v>0</v>
          </cell>
          <cell r="BD1522" t="str">
            <v/>
          </cell>
          <cell r="BE1522">
            <v>1</v>
          </cell>
          <cell r="BG1522" t="str">
            <v>1100</v>
          </cell>
        </row>
        <row r="1523">
          <cell r="B1523" t="str">
            <v>G282270206100900</v>
          </cell>
          <cell r="C1523" t="str">
            <v>28.兵庫県</v>
          </cell>
          <cell r="D1523" t="str">
            <v>227</v>
          </cell>
          <cell r="E1523" t="str">
            <v>宍粟市</v>
          </cell>
          <cell r="F1523" t="str">
            <v>02</v>
          </cell>
          <cell r="G1523" t="str">
            <v>特環 単独</v>
          </cell>
          <cell r="H1523" t="str">
            <v>特定環境保全公共下水道</v>
          </cell>
          <cell r="I1523" t="str">
            <v>単独</v>
          </cell>
          <cell r="J1523" t="str">
            <v>009</v>
          </cell>
          <cell r="K1523" t="str">
            <v>神戸浄化センター</v>
          </cell>
          <cell r="M1523" t="str">
            <v>1</v>
          </cell>
          <cell r="N1523" t="str">
            <v>1</v>
          </cell>
          <cell r="Q1523">
            <v>36586</v>
          </cell>
          <cell r="R1523" t="str">
            <v>平成</v>
          </cell>
          <cell r="S1523">
            <v>12</v>
          </cell>
          <cell r="T1523">
            <v>3</v>
          </cell>
          <cell r="AB1523">
            <v>10032</v>
          </cell>
          <cell r="AC1523" t="str">
            <v>瀬戸内海</v>
          </cell>
          <cell r="AD1523" t="str">
            <v>Ａ</v>
          </cell>
          <cell r="AE1523" t="str">
            <v>イ</v>
          </cell>
          <cell r="AF1523">
            <v>15</v>
          </cell>
          <cell r="AG1523">
            <v>12</v>
          </cell>
          <cell r="AH1523">
            <v>3</v>
          </cell>
          <cell r="AK1523" t="str">
            <v>揖保川</v>
          </cell>
          <cell r="AL1523" t="str">
            <v>荒井取水口</v>
          </cell>
          <cell r="AN1523">
            <v>15</v>
          </cell>
          <cell r="AO1523" t="str">
            <v>宍粟市</v>
          </cell>
          <cell r="AQ1523" t="str">
            <v/>
          </cell>
          <cell r="AR1523" t="str">
            <v>オキシディションディッチ法</v>
          </cell>
          <cell r="AS1523" t="str">
            <v>2822702009</v>
          </cell>
          <cell r="AT1523" t="str">
            <v/>
          </cell>
          <cell r="AU1523" t="str">
            <v>10</v>
          </cell>
          <cell r="AV1523" t="str">
            <v>10</v>
          </cell>
          <cell r="AW1523">
            <v>0</v>
          </cell>
          <cell r="AX1523">
            <v>0</v>
          </cell>
          <cell r="AY1523">
            <v>0</v>
          </cell>
          <cell r="AZ1523">
            <v>0</v>
          </cell>
          <cell r="BA1523">
            <v>0</v>
          </cell>
          <cell r="BD1523" t="str">
            <v/>
          </cell>
          <cell r="BE1523">
            <v>1</v>
          </cell>
          <cell r="BG1523" t="str">
            <v>1100</v>
          </cell>
        </row>
        <row r="1524">
          <cell r="B1524" t="str">
            <v>G282280106100100</v>
          </cell>
          <cell r="C1524" t="str">
            <v>28.兵庫県</v>
          </cell>
          <cell r="D1524" t="str">
            <v>228</v>
          </cell>
          <cell r="E1524" t="str">
            <v>加東市</v>
          </cell>
          <cell r="F1524" t="str">
            <v>01</v>
          </cell>
          <cell r="G1524" t="str">
            <v>公共 単独</v>
          </cell>
          <cell r="H1524" t="str">
            <v>公共下水道</v>
          </cell>
          <cell r="I1524" t="str">
            <v>単独</v>
          </cell>
          <cell r="J1524" t="str">
            <v>001</v>
          </cell>
          <cell r="K1524" t="str">
            <v>せせらぎ東条</v>
          </cell>
          <cell r="M1524" t="str">
            <v>1</v>
          </cell>
          <cell r="N1524" t="str">
            <v>1</v>
          </cell>
          <cell r="P1524" t="str">
            <v>1</v>
          </cell>
          <cell r="Q1524">
            <v>36100</v>
          </cell>
          <cell r="R1524" t="str">
            <v>平成</v>
          </cell>
          <cell r="S1524">
            <v>10</v>
          </cell>
          <cell r="T1524">
            <v>11</v>
          </cell>
          <cell r="AB1524">
            <v>11400</v>
          </cell>
          <cell r="AC1524" t="str">
            <v>播磨灘</v>
          </cell>
          <cell r="AF1524">
            <v>15</v>
          </cell>
          <cell r="AG1524">
            <v>20</v>
          </cell>
          <cell r="AH1524">
            <v>3</v>
          </cell>
          <cell r="AI1524" t="str">
            <v>川谷川</v>
          </cell>
          <cell r="AK1524" t="str">
            <v>東条川</v>
          </cell>
          <cell r="AL1524" t="str">
            <v>秋津浄水場</v>
          </cell>
          <cell r="AM1524">
            <v>4</v>
          </cell>
          <cell r="AO1524" t="str">
            <v>加東市</v>
          </cell>
          <cell r="AQ1524" t="str">
            <v/>
          </cell>
          <cell r="AR1524" t="str">
            <v>オキシディションディッチ法</v>
          </cell>
          <cell r="AS1524" t="str">
            <v>2822801001</v>
          </cell>
          <cell r="AT1524" t="str">
            <v/>
          </cell>
          <cell r="AU1524" t="str">
            <v>10</v>
          </cell>
          <cell r="AV1524" t="str">
            <v>10</v>
          </cell>
          <cell r="AW1524">
            <v>1</v>
          </cell>
          <cell r="AX1524">
            <v>0</v>
          </cell>
          <cell r="AY1524">
            <v>0</v>
          </cell>
          <cell r="AZ1524">
            <v>0</v>
          </cell>
          <cell r="BA1524">
            <v>0</v>
          </cell>
          <cell r="BD1524" t="str">
            <v/>
          </cell>
          <cell r="BE1524">
            <v>1</v>
          </cell>
          <cell r="BG1524" t="str">
            <v>1101</v>
          </cell>
        </row>
        <row r="1525">
          <cell r="B1525" t="str">
            <v>G282290106100100</v>
          </cell>
          <cell r="C1525" t="str">
            <v>28.兵庫県</v>
          </cell>
          <cell r="D1525" t="str">
            <v>229</v>
          </cell>
          <cell r="E1525" t="str">
            <v>たつの市</v>
          </cell>
          <cell r="F1525" t="str">
            <v>01</v>
          </cell>
          <cell r="G1525" t="str">
            <v>公共 単独</v>
          </cell>
          <cell r="H1525" t="str">
            <v>公共下水道</v>
          </cell>
          <cell r="I1525" t="str">
            <v>単独</v>
          </cell>
          <cell r="J1525" t="str">
            <v>001</v>
          </cell>
          <cell r="K1525" t="str">
            <v>龍野西浄化センター</v>
          </cell>
          <cell r="M1525" t="str">
            <v>1</v>
          </cell>
          <cell r="N1525" t="str">
            <v>1</v>
          </cell>
          <cell r="Q1525">
            <v>36586</v>
          </cell>
          <cell r="R1525" t="str">
            <v>平成</v>
          </cell>
          <cell r="S1525">
            <v>12</v>
          </cell>
          <cell r="T1525">
            <v>3</v>
          </cell>
          <cell r="AB1525">
            <v>6800</v>
          </cell>
          <cell r="AC1525" t="str">
            <v>揖保川上流</v>
          </cell>
          <cell r="AD1525" t="str">
            <v>Ａ</v>
          </cell>
          <cell r="AE1525" t="str">
            <v>イ</v>
          </cell>
          <cell r="AF1525">
            <v>15</v>
          </cell>
          <cell r="AG1525">
            <v>12</v>
          </cell>
          <cell r="AH1525">
            <v>1</v>
          </cell>
          <cell r="AI1525" t="str">
            <v>前川</v>
          </cell>
          <cell r="AL1525" t="str">
            <v>揖保川</v>
          </cell>
          <cell r="AQ1525" t="str">
            <v/>
          </cell>
          <cell r="AR1525" t="str">
            <v>オキシディションディッチ法</v>
          </cell>
          <cell r="AS1525" t="str">
            <v>2822901001</v>
          </cell>
          <cell r="AT1525" t="str">
            <v/>
          </cell>
          <cell r="AU1525" t="str">
            <v>10</v>
          </cell>
          <cell r="AV1525" t="str">
            <v>10</v>
          </cell>
          <cell r="AW1525">
            <v>0</v>
          </cell>
          <cell r="AX1525">
            <v>0</v>
          </cell>
          <cell r="AY1525">
            <v>0</v>
          </cell>
          <cell r="AZ1525">
            <v>0</v>
          </cell>
          <cell r="BA1525">
            <v>0</v>
          </cell>
          <cell r="BD1525" t="str">
            <v/>
          </cell>
          <cell r="BE1525">
            <v>1</v>
          </cell>
          <cell r="BG1525" t="str">
            <v>1100</v>
          </cell>
        </row>
        <row r="1526">
          <cell r="B1526" t="str">
            <v>G282290206100200</v>
          </cell>
          <cell r="C1526" t="str">
            <v>28.兵庫県</v>
          </cell>
          <cell r="D1526" t="str">
            <v>229</v>
          </cell>
          <cell r="E1526" t="str">
            <v>たつの市</v>
          </cell>
          <cell r="F1526" t="str">
            <v>02</v>
          </cell>
          <cell r="G1526" t="str">
            <v>特環 単独</v>
          </cell>
          <cell r="H1526" t="str">
            <v>特定環境保全公共下水道</v>
          </cell>
          <cell r="I1526" t="str">
            <v>単独</v>
          </cell>
          <cell r="J1526" t="str">
            <v>002</v>
          </cell>
          <cell r="K1526" t="str">
            <v>室津浄化センター</v>
          </cell>
          <cell r="M1526" t="str">
            <v>1</v>
          </cell>
          <cell r="N1526" t="str">
            <v>1</v>
          </cell>
          <cell r="Q1526">
            <v>34425</v>
          </cell>
          <cell r="R1526" t="str">
            <v>平成</v>
          </cell>
          <cell r="S1526">
            <v>6</v>
          </cell>
          <cell r="T1526">
            <v>4</v>
          </cell>
          <cell r="AB1526">
            <v>1630</v>
          </cell>
          <cell r="AC1526" t="str">
            <v>播磨海域</v>
          </cell>
          <cell r="AD1526" t="str">
            <v>Ａ</v>
          </cell>
          <cell r="AE1526" t="str">
            <v>イ</v>
          </cell>
          <cell r="AF1526">
            <v>15</v>
          </cell>
          <cell r="AG1526">
            <v>12</v>
          </cell>
          <cell r="AH1526">
            <v>1</v>
          </cell>
          <cell r="AI1526" t="str">
            <v>播磨海域</v>
          </cell>
          <cell r="AQ1526" t="str">
            <v/>
          </cell>
          <cell r="AR1526" t="str">
            <v>長時間エアレーション法</v>
          </cell>
          <cell r="AS1526" t="str">
            <v>2822902002</v>
          </cell>
          <cell r="AT1526" t="str">
            <v/>
          </cell>
          <cell r="AU1526" t="str">
            <v>10</v>
          </cell>
          <cell r="AV1526" t="str">
            <v>10</v>
          </cell>
          <cell r="AW1526">
            <v>0</v>
          </cell>
          <cell r="AX1526">
            <v>0</v>
          </cell>
          <cell r="AY1526">
            <v>0</v>
          </cell>
          <cell r="AZ1526">
            <v>0</v>
          </cell>
          <cell r="BA1526">
            <v>0</v>
          </cell>
          <cell r="BD1526" t="str">
            <v/>
          </cell>
          <cell r="BE1526">
            <v>1</v>
          </cell>
          <cell r="BG1526" t="str">
            <v>1100</v>
          </cell>
        </row>
        <row r="1527">
          <cell r="B1527" t="str">
            <v>G283650106100100</v>
          </cell>
          <cell r="C1527" t="str">
            <v>28.兵庫県</v>
          </cell>
          <cell r="D1527" t="str">
            <v>365</v>
          </cell>
          <cell r="E1527" t="str">
            <v>多可町</v>
          </cell>
          <cell r="F1527" t="str">
            <v>01</v>
          </cell>
          <cell r="G1527" t="str">
            <v>公共 単独</v>
          </cell>
          <cell r="H1527" t="str">
            <v>公共下水道</v>
          </cell>
          <cell r="I1527" t="str">
            <v>単独</v>
          </cell>
          <cell r="J1527" t="str">
            <v>001</v>
          </cell>
          <cell r="K1527" t="str">
            <v>中浄化センター</v>
          </cell>
          <cell r="M1527" t="str">
            <v>1</v>
          </cell>
          <cell r="N1527" t="str">
            <v>1</v>
          </cell>
          <cell r="Q1527">
            <v>35704</v>
          </cell>
          <cell r="R1527" t="str">
            <v>平成</v>
          </cell>
          <cell r="S1527">
            <v>9</v>
          </cell>
          <cell r="T1527">
            <v>10</v>
          </cell>
          <cell r="AB1527">
            <v>10600</v>
          </cell>
          <cell r="AC1527" t="str">
            <v>瀬戸内海</v>
          </cell>
          <cell r="AF1527">
            <v>15</v>
          </cell>
          <cell r="AG1527">
            <v>12</v>
          </cell>
          <cell r="AH1527">
            <v>3</v>
          </cell>
          <cell r="AI1527" t="str">
            <v>杉原川</v>
          </cell>
          <cell r="AK1527" t="str">
            <v>加古川</v>
          </cell>
          <cell r="AL1527" t="str">
            <v>春日</v>
          </cell>
          <cell r="AN1527">
            <v>5.5</v>
          </cell>
          <cell r="AO1527" t="str">
            <v>西脇市</v>
          </cell>
          <cell r="AQ1527" t="str">
            <v/>
          </cell>
          <cell r="AR1527" t="str">
            <v>オキシディションディッチ法</v>
          </cell>
          <cell r="AS1527" t="str">
            <v>2836501001</v>
          </cell>
          <cell r="AT1527" t="str">
            <v/>
          </cell>
          <cell r="AU1527" t="str">
            <v>10</v>
          </cell>
          <cell r="AV1527" t="str">
            <v>10</v>
          </cell>
          <cell r="AW1527">
            <v>0</v>
          </cell>
          <cell r="AX1527">
            <v>0</v>
          </cell>
          <cell r="AY1527">
            <v>0</v>
          </cell>
          <cell r="AZ1527">
            <v>0</v>
          </cell>
          <cell r="BA1527">
            <v>0</v>
          </cell>
          <cell r="BD1527" t="str">
            <v/>
          </cell>
          <cell r="BE1527">
            <v>1</v>
          </cell>
          <cell r="BG1527" t="str">
            <v>1100</v>
          </cell>
        </row>
        <row r="1528">
          <cell r="B1528" t="str">
            <v>G283650206100200</v>
          </cell>
          <cell r="C1528" t="str">
            <v>28.兵庫県</v>
          </cell>
          <cell r="D1528" t="str">
            <v>365</v>
          </cell>
          <cell r="E1528" t="str">
            <v>多可町</v>
          </cell>
          <cell r="F1528" t="str">
            <v>02</v>
          </cell>
          <cell r="G1528" t="str">
            <v>特環 単独</v>
          </cell>
          <cell r="H1528" t="str">
            <v>特定環境保全公共下水道</v>
          </cell>
          <cell r="I1528" t="str">
            <v>単独</v>
          </cell>
          <cell r="J1528" t="str">
            <v>002</v>
          </cell>
          <cell r="K1528" t="str">
            <v>貴船浄化センター</v>
          </cell>
          <cell r="M1528" t="str">
            <v>1</v>
          </cell>
          <cell r="N1528" t="str">
            <v>1</v>
          </cell>
          <cell r="Q1528">
            <v>35947</v>
          </cell>
          <cell r="R1528" t="str">
            <v>平成</v>
          </cell>
          <cell r="S1528">
            <v>10</v>
          </cell>
          <cell r="T1528">
            <v>6</v>
          </cell>
          <cell r="AB1528">
            <v>8079</v>
          </cell>
          <cell r="AC1528" t="str">
            <v>瀬戸内海</v>
          </cell>
          <cell r="AF1528">
            <v>15</v>
          </cell>
          <cell r="AI1528" t="str">
            <v>砂）石ヶ谷川</v>
          </cell>
          <cell r="AK1528" t="str">
            <v>野間川</v>
          </cell>
          <cell r="AL1528" t="str">
            <v>芳田（間接取水）</v>
          </cell>
          <cell r="AN1528">
            <v>3.3</v>
          </cell>
          <cell r="AO1528" t="str">
            <v>西脇市</v>
          </cell>
          <cell r="AQ1528" t="str">
            <v/>
          </cell>
          <cell r="AR1528" t="str">
            <v>オキシディションディッチ法</v>
          </cell>
          <cell r="AS1528" t="str">
            <v>2836502002</v>
          </cell>
          <cell r="AT1528" t="str">
            <v/>
          </cell>
          <cell r="AU1528" t="str">
            <v>10</v>
          </cell>
          <cell r="AV1528" t="str">
            <v>10</v>
          </cell>
          <cell r="AW1528">
            <v>0</v>
          </cell>
          <cell r="AX1528">
            <v>0</v>
          </cell>
          <cell r="AY1528">
            <v>0</v>
          </cell>
          <cell r="AZ1528">
            <v>0</v>
          </cell>
          <cell r="BA1528">
            <v>0</v>
          </cell>
          <cell r="BD1528" t="str">
            <v/>
          </cell>
          <cell r="BE1528">
            <v>1</v>
          </cell>
          <cell r="BG1528" t="str">
            <v>1100</v>
          </cell>
        </row>
        <row r="1529">
          <cell r="B1529" t="str">
            <v>G284420206100100</v>
          </cell>
          <cell r="C1529" t="str">
            <v>28.兵庫県</v>
          </cell>
          <cell r="D1529" t="str">
            <v>442</v>
          </cell>
          <cell r="E1529" t="str">
            <v>市川町</v>
          </cell>
          <cell r="F1529" t="str">
            <v>02</v>
          </cell>
          <cell r="G1529" t="str">
            <v>特環 単独</v>
          </cell>
          <cell r="H1529" t="str">
            <v>特定環境保全公共下水道</v>
          </cell>
          <cell r="I1529" t="str">
            <v>単独</v>
          </cell>
          <cell r="J1529" t="str">
            <v>001</v>
          </cell>
          <cell r="K1529" t="str">
            <v>中部浄化センター</v>
          </cell>
          <cell r="M1529" t="str">
            <v>1</v>
          </cell>
          <cell r="Q1529">
            <v>40575</v>
          </cell>
          <cell r="R1529" t="str">
            <v>平成</v>
          </cell>
          <cell r="S1529">
            <v>23</v>
          </cell>
          <cell r="T1529">
            <v>2</v>
          </cell>
          <cell r="AB1529">
            <v>14420</v>
          </cell>
          <cell r="AC1529" t="str">
            <v>市川上流</v>
          </cell>
          <cell r="AD1529" t="str">
            <v>Ａ</v>
          </cell>
          <cell r="AE1529" t="str">
            <v>イ</v>
          </cell>
          <cell r="AF1529">
            <v>12</v>
          </cell>
          <cell r="AG1529">
            <v>10</v>
          </cell>
          <cell r="AH1529">
            <v>0.5</v>
          </cell>
          <cell r="AJ1529" t="str">
            <v>市川</v>
          </cell>
          <cell r="AQ1529" t="str">
            <v/>
          </cell>
          <cell r="AR1529" t="str">
            <v>高度処理オキシディションディッチ法</v>
          </cell>
          <cell r="AS1529" t="str">
            <v>2844202001</v>
          </cell>
          <cell r="AT1529" t="str">
            <v/>
          </cell>
          <cell r="AU1529" t="str">
            <v>00</v>
          </cell>
          <cell r="AV1529" t="str">
            <v>00</v>
          </cell>
          <cell r="AW1529">
            <v>0</v>
          </cell>
          <cell r="AX1529">
            <v>0</v>
          </cell>
          <cell r="AY1529">
            <v>0</v>
          </cell>
          <cell r="AZ1529">
            <v>0</v>
          </cell>
          <cell r="BA1529">
            <v>0</v>
          </cell>
          <cell r="BD1529" t="str">
            <v/>
          </cell>
          <cell r="BE1529">
            <v>1</v>
          </cell>
          <cell r="BG1529" t="str">
            <v>1000</v>
          </cell>
        </row>
        <row r="1530">
          <cell r="B1530" t="str">
            <v>G284430106100100</v>
          </cell>
          <cell r="C1530" t="str">
            <v>28.兵庫県</v>
          </cell>
          <cell r="D1530" t="str">
            <v>443</v>
          </cell>
          <cell r="E1530" t="str">
            <v>福崎町</v>
          </cell>
          <cell r="F1530" t="str">
            <v>01</v>
          </cell>
          <cell r="G1530" t="str">
            <v>公共 単独</v>
          </cell>
          <cell r="H1530" t="str">
            <v>公共下水道</v>
          </cell>
          <cell r="I1530" t="str">
            <v>単独</v>
          </cell>
          <cell r="J1530" t="str">
            <v>001</v>
          </cell>
          <cell r="K1530" t="str">
            <v>福崎浄化センター</v>
          </cell>
          <cell r="M1530" t="str">
            <v>1</v>
          </cell>
          <cell r="N1530" t="str">
            <v>1</v>
          </cell>
          <cell r="P1530" t="str">
            <v>1</v>
          </cell>
          <cell r="Q1530">
            <v>38412</v>
          </cell>
          <cell r="R1530" t="str">
            <v>平成</v>
          </cell>
          <cell r="S1530">
            <v>17</v>
          </cell>
          <cell r="T1530">
            <v>3</v>
          </cell>
          <cell r="AB1530">
            <v>23800</v>
          </cell>
          <cell r="AC1530" t="str">
            <v>市川</v>
          </cell>
          <cell r="AD1530" t="str">
            <v>Ａ</v>
          </cell>
          <cell r="AE1530" t="str">
            <v>イ</v>
          </cell>
          <cell r="AF1530">
            <v>10</v>
          </cell>
          <cell r="AG1530">
            <v>10</v>
          </cell>
          <cell r="AH1530">
            <v>0.5</v>
          </cell>
          <cell r="AI1530" t="str">
            <v>七種川</v>
          </cell>
          <cell r="AJ1530" t="str">
            <v>市川</v>
          </cell>
          <cell r="AL1530" t="str">
            <v>福田水源地</v>
          </cell>
          <cell r="AM1530">
            <v>1</v>
          </cell>
          <cell r="AO1530" t="str">
            <v>福崎町</v>
          </cell>
          <cell r="AQ1530" t="str">
            <v/>
          </cell>
          <cell r="AR1530" t="str">
            <v>その他処理方法</v>
          </cell>
          <cell r="AS1530" t="str">
            <v>2844301001</v>
          </cell>
          <cell r="AT1530" t="str">
            <v/>
          </cell>
          <cell r="AU1530" t="str">
            <v>10</v>
          </cell>
          <cell r="AV1530" t="str">
            <v>10</v>
          </cell>
          <cell r="AW1530">
            <v>1</v>
          </cell>
          <cell r="AX1530">
            <v>0</v>
          </cell>
          <cell r="AY1530">
            <v>0</v>
          </cell>
          <cell r="AZ1530">
            <v>0</v>
          </cell>
          <cell r="BA1530">
            <v>0</v>
          </cell>
          <cell r="BD1530" t="str">
            <v/>
          </cell>
          <cell r="BE1530">
            <v>1</v>
          </cell>
          <cell r="BG1530" t="str">
            <v>1101</v>
          </cell>
        </row>
        <row r="1531">
          <cell r="B1531" t="str">
            <v>G284460206100100</v>
          </cell>
          <cell r="C1531" t="str">
            <v>28.兵庫県</v>
          </cell>
          <cell r="D1531" t="str">
            <v>446</v>
          </cell>
          <cell r="E1531" t="str">
            <v>神河町</v>
          </cell>
          <cell r="F1531" t="str">
            <v>02</v>
          </cell>
          <cell r="G1531" t="str">
            <v>特環 単独</v>
          </cell>
          <cell r="H1531" t="str">
            <v>特定環境保全公共下水道</v>
          </cell>
          <cell r="I1531" t="str">
            <v>単独</v>
          </cell>
          <cell r="J1531" t="str">
            <v>001</v>
          </cell>
          <cell r="K1531" t="str">
            <v>粟賀南部浄化センター</v>
          </cell>
          <cell r="M1531" t="str">
            <v>1</v>
          </cell>
          <cell r="N1531" t="str">
            <v>1</v>
          </cell>
          <cell r="Q1531">
            <v>35796</v>
          </cell>
          <cell r="R1531" t="str">
            <v>平成</v>
          </cell>
          <cell r="S1531">
            <v>10</v>
          </cell>
          <cell r="T1531">
            <v>1</v>
          </cell>
          <cell r="AB1531">
            <v>5000</v>
          </cell>
          <cell r="AC1531" t="str">
            <v>仁豊野橋より上流</v>
          </cell>
          <cell r="AD1531" t="str">
            <v>Ａ</v>
          </cell>
          <cell r="AE1531" t="str">
            <v>イ</v>
          </cell>
          <cell r="AF1531">
            <v>20</v>
          </cell>
          <cell r="AJ1531" t="str">
            <v>市川</v>
          </cell>
          <cell r="AL1531" t="str">
            <v>船津</v>
          </cell>
          <cell r="AM1531">
            <v>0</v>
          </cell>
          <cell r="AN1531">
            <v>18</v>
          </cell>
          <cell r="AO1531" t="str">
            <v>姫路市</v>
          </cell>
          <cell r="AQ1531" t="str">
            <v/>
          </cell>
          <cell r="AR1531" t="str">
            <v>オキシディションディッチ法</v>
          </cell>
          <cell r="AS1531" t="str">
            <v>2844602001</v>
          </cell>
          <cell r="AT1531" t="str">
            <v/>
          </cell>
          <cell r="AU1531" t="str">
            <v>10</v>
          </cell>
          <cell r="AV1531" t="str">
            <v>10</v>
          </cell>
          <cell r="AW1531">
            <v>0</v>
          </cell>
          <cell r="AX1531">
            <v>0</v>
          </cell>
          <cell r="AY1531">
            <v>0</v>
          </cell>
          <cell r="AZ1531">
            <v>0</v>
          </cell>
          <cell r="BA1531">
            <v>0</v>
          </cell>
          <cell r="BD1531" t="str">
            <v/>
          </cell>
          <cell r="BE1531">
            <v>1</v>
          </cell>
          <cell r="BG1531" t="str">
            <v>1100</v>
          </cell>
        </row>
        <row r="1532">
          <cell r="B1532" t="str">
            <v>G284460206100200</v>
          </cell>
          <cell r="C1532" t="str">
            <v>28.兵庫県</v>
          </cell>
          <cell r="D1532" t="str">
            <v>446</v>
          </cell>
          <cell r="E1532" t="str">
            <v>神河町</v>
          </cell>
          <cell r="F1532" t="str">
            <v>02</v>
          </cell>
          <cell r="G1532" t="str">
            <v>特環 単独</v>
          </cell>
          <cell r="H1532" t="str">
            <v>特定環境保全公共下水道</v>
          </cell>
          <cell r="I1532" t="str">
            <v>単独</v>
          </cell>
          <cell r="J1532" t="str">
            <v>002</v>
          </cell>
          <cell r="K1532" t="str">
            <v>大河内浄化センター</v>
          </cell>
          <cell r="M1532" t="str">
            <v>1</v>
          </cell>
          <cell r="N1532" t="str">
            <v>1</v>
          </cell>
          <cell r="Q1532">
            <v>35886</v>
          </cell>
          <cell r="R1532" t="str">
            <v>平成</v>
          </cell>
          <cell r="S1532">
            <v>10</v>
          </cell>
          <cell r="T1532">
            <v>4</v>
          </cell>
          <cell r="AB1532">
            <v>11500</v>
          </cell>
          <cell r="AC1532" t="str">
            <v>仁豊野橋より上流</v>
          </cell>
          <cell r="AD1532" t="str">
            <v>Ａ</v>
          </cell>
          <cell r="AE1532" t="str">
            <v>イ</v>
          </cell>
          <cell r="AF1532">
            <v>17</v>
          </cell>
          <cell r="AI1532" t="str">
            <v>御所谷川</v>
          </cell>
          <cell r="AJ1532" t="str">
            <v>市川</v>
          </cell>
          <cell r="AL1532" t="str">
            <v>船津</v>
          </cell>
          <cell r="AN1532">
            <v>18</v>
          </cell>
          <cell r="AO1532" t="str">
            <v>姫路市</v>
          </cell>
          <cell r="AQ1532" t="str">
            <v/>
          </cell>
          <cell r="AR1532" t="str">
            <v>オキシディションディッチ法</v>
          </cell>
          <cell r="AS1532" t="str">
            <v>2844602002</v>
          </cell>
          <cell r="AT1532" t="str">
            <v/>
          </cell>
          <cell r="AU1532" t="str">
            <v>10</v>
          </cell>
          <cell r="AV1532" t="str">
            <v>10</v>
          </cell>
          <cell r="AW1532">
            <v>0</v>
          </cell>
          <cell r="AX1532">
            <v>0</v>
          </cell>
          <cell r="AY1532">
            <v>0</v>
          </cell>
          <cell r="AZ1532">
            <v>0</v>
          </cell>
          <cell r="BA1532">
            <v>0</v>
          </cell>
          <cell r="BD1532" t="str">
            <v/>
          </cell>
          <cell r="BE1532">
            <v>1</v>
          </cell>
          <cell r="BG1532" t="str">
            <v>1100</v>
          </cell>
        </row>
        <row r="1533">
          <cell r="B1533" t="str">
            <v>G284460206100300</v>
          </cell>
          <cell r="C1533" t="str">
            <v>28.兵庫県</v>
          </cell>
          <cell r="D1533" t="str">
            <v>446</v>
          </cell>
          <cell r="E1533" t="str">
            <v>神河町</v>
          </cell>
          <cell r="F1533" t="str">
            <v>02</v>
          </cell>
          <cell r="G1533" t="str">
            <v>特環 単独</v>
          </cell>
          <cell r="H1533" t="str">
            <v>特定環境保全公共下水道</v>
          </cell>
          <cell r="I1533" t="str">
            <v>単独</v>
          </cell>
          <cell r="J1533" t="str">
            <v>003</v>
          </cell>
          <cell r="K1533" t="str">
            <v>大山浄化センター</v>
          </cell>
          <cell r="M1533" t="str">
            <v>1</v>
          </cell>
          <cell r="N1533" t="str">
            <v>1</v>
          </cell>
          <cell r="Q1533">
            <v>36586</v>
          </cell>
          <cell r="R1533" t="str">
            <v>平成</v>
          </cell>
          <cell r="S1533">
            <v>12</v>
          </cell>
          <cell r="T1533">
            <v>3</v>
          </cell>
          <cell r="AB1533">
            <v>4700</v>
          </cell>
          <cell r="AC1533" t="str">
            <v>仁豊野橋より上流</v>
          </cell>
          <cell r="AD1533" t="str">
            <v>Ａ</v>
          </cell>
          <cell r="AE1533" t="str">
            <v>イ</v>
          </cell>
          <cell r="AF1533">
            <v>20</v>
          </cell>
          <cell r="AJ1533" t="str">
            <v>猪篠川</v>
          </cell>
          <cell r="AL1533" t="str">
            <v>船津</v>
          </cell>
          <cell r="AM1533">
            <v>0</v>
          </cell>
          <cell r="AN1533">
            <v>21</v>
          </cell>
          <cell r="AO1533" t="str">
            <v>姫路市</v>
          </cell>
          <cell r="AQ1533" t="str">
            <v/>
          </cell>
          <cell r="AR1533" t="str">
            <v>オキシディションディッチ法</v>
          </cell>
          <cell r="AS1533" t="str">
            <v>2844602003</v>
          </cell>
          <cell r="AT1533" t="str">
            <v/>
          </cell>
          <cell r="AU1533" t="str">
            <v>10</v>
          </cell>
          <cell r="AV1533" t="str">
            <v>10</v>
          </cell>
          <cell r="AW1533">
            <v>0</v>
          </cell>
          <cell r="AX1533">
            <v>0</v>
          </cell>
          <cell r="AY1533">
            <v>0</v>
          </cell>
          <cell r="AZ1533">
            <v>0</v>
          </cell>
          <cell r="BA1533">
            <v>0</v>
          </cell>
          <cell r="BD1533" t="str">
            <v/>
          </cell>
          <cell r="BE1533">
            <v>1</v>
          </cell>
          <cell r="BG1533" t="str">
            <v>1100</v>
          </cell>
        </row>
        <row r="1534">
          <cell r="B1534" t="str">
            <v>G284810106100100</v>
          </cell>
          <cell r="C1534" t="str">
            <v>28.兵庫県</v>
          </cell>
          <cell r="D1534" t="str">
            <v>481</v>
          </cell>
          <cell r="E1534" t="str">
            <v>上郡町</v>
          </cell>
          <cell r="F1534" t="str">
            <v>01</v>
          </cell>
          <cell r="G1534" t="str">
            <v>公共 単独</v>
          </cell>
          <cell r="H1534" t="str">
            <v>公共下水道</v>
          </cell>
          <cell r="I1534" t="str">
            <v>単独</v>
          </cell>
          <cell r="J1534" t="str">
            <v>001</v>
          </cell>
          <cell r="K1534" t="str">
            <v>上郡浄化センター</v>
          </cell>
          <cell r="M1534" t="str">
            <v>1</v>
          </cell>
          <cell r="N1534" t="str">
            <v>1</v>
          </cell>
          <cell r="Q1534">
            <v>36251</v>
          </cell>
          <cell r="R1534" t="str">
            <v>平成</v>
          </cell>
          <cell r="S1534">
            <v>11</v>
          </cell>
          <cell r="T1534">
            <v>4</v>
          </cell>
          <cell r="AB1534">
            <v>23000</v>
          </cell>
          <cell r="AC1534" t="str">
            <v>瀬戸内海海域</v>
          </cell>
          <cell r="AD1534" t="str">
            <v>Ａ</v>
          </cell>
          <cell r="AE1534" t="str">
            <v>イ</v>
          </cell>
          <cell r="AF1534">
            <v>15</v>
          </cell>
          <cell r="AG1534">
            <v>12</v>
          </cell>
          <cell r="AH1534">
            <v>3</v>
          </cell>
          <cell r="AJ1534" t="str">
            <v>千種川</v>
          </cell>
          <cell r="AL1534" t="str">
            <v>木津水源地</v>
          </cell>
          <cell r="AN1534">
            <v>15</v>
          </cell>
          <cell r="AO1534" t="str">
            <v>赤穂市</v>
          </cell>
          <cell r="AQ1534" t="str">
            <v/>
          </cell>
          <cell r="AR1534" t="str">
            <v>オキシディションディッチ法</v>
          </cell>
          <cell r="AS1534" t="str">
            <v>2848101001</v>
          </cell>
          <cell r="AT1534" t="str">
            <v/>
          </cell>
          <cell r="AU1534" t="str">
            <v>10</v>
          </cell>
          <cell r="AV1534" t="str">
            <v>10</v>
          </cell>
          <cell r="AW1534">
            <v>0</v>
          </cell>
          <cell r="AX1534">
            <v>0</v>
          </cell>
          <cell r="AY1534">
            <v>0</v>
          </cell>
          <cell r="AZ1534">
            <v>0</v>
          </cell>
          <cell r="BA1534">
            <v>0</v>
          </cell>
          <cell r="BD1534" t="str">
            <v/>
          </cell>
          <cell r="BE1534">
            <v>1</v>
          </cell>
          <cell r="BG1534" t="str">
            <v>1100</v>
          </cell>
        </row>
        <row r="1535">
          <cell r="B1535" t="str">
            <v>G285010206100100</v>
          </cell>
          <cell r="C1535" t="str">
            <v>28.兵庫県</v>
          </cell>
          <cell r="D1535" t="str">
            <v>501</v>
          </cell>
          <cell r="E1535" t="str">
            <v>佐用町</v>
          </cell>
          <cell r="F1535" t="str">
            <v>02</v>
          </cell>
          <cell r="G1535" t="str">
            <v>特環 単独</v>
          </cell>
          <cell r="H1535" t="str">
            <v>特定環境保全公共下水道</v>
          </cell>
          <cell r="I1535" t="str">
            <v>単独</v>
          </cell>
          <cell r="J1535" t="str">
            <v>001</v>
          </cell>
          <cell r="K1535" t="str">
            <v>久崎浄化センター</v>
          </cell>
          <cell r="M1535" t="str">
            <v>1</v>
          </cell>
          <cell r="N1535" t="str">
            <v>1</v>
          </cell>
          <cell r="Q1535">
            <v>35490</v>
          </cell>
          <cell r="R1535" t="str">
            <v>平成</v>
          </cell>
          <cell r="S1535">
            <v>9</v>
          </cell>
          <cell r="T1535">
            <v>3</v>
          </cell>
          <cell r="AB1535">
            <v>2000</v>
          </cell>
          <cell r="AC1535" t="str">
            <v>千種川下流</v>
          </cell>
          <cell r="AD1535" t="str">
            <v>Ａ</v>
          </cell>
          <cell r="AE1535" t="str">
            <v>イ</v>
          </cell>
          <cell r="AF1535">
            <v>15</v>
          </cell>
          <cell r="AJ1535" t="str">
            <v>佐用川</v>
          </cell>
          <cell r="AQ1535" t="str">
            <v/>
          </cell>
          <cell r="AR1535" t="str">
            <v>オキシディションディッチ法</v>
          </cell>
          <cell r="AS1535" t="str">
            <v>2850102001</v>
          </cell>
          <cell r="AT1535" t="str">
            <v/>
          </cell>
          <cell r="AU1535" t="str">
            <v>10</v>
          </cell>
          <cell r="AV1535" t="str">
            <v>10</v>
          </cell>
          <cell r="AW1535">
            <v>0</v>
          </cell>
          <cell r="AX1535">
            <v>0</v>
          </cell>
          <cell r="AY1535">
            <v>0</v>
          </cell>
          <cell r="AZ1535">
            <v>0</v>
          </cell>
          <cell r="BA1535">
            <v>0</v>
          </cell>
          <cell r="BD1535" t="str">
            <v/>
          </cell>
          <cell r="BE1535">
            <v>1</v>
          </cell>
          <cell r="BG1535" t="str">
            <v>1100</v>
          </cell>
        </row>
        <row r="1536">
          <cell r="B1536" t="str">
            <v>G285010206100200</v>
          </cell>
          <cell r="C1536" t="str">
            <v>28.兵庫県</v>
          </cell>
          <cell r="D1536" t="str">
            <v>501</v>
          </cell>
          <cell r="E1536" t="str">
            <v>佐用町</v>
          </cell>
          <cell r="F1536" t="str">
            <v>02</v>
          </cell>
          <cell r="G1536" t="str">
            <v>特環 単独</v>
          </cell>
          <cell r="H1536" t="str">
            <v>特定環境保全公共下水道</v>
          </cell>
          <cell r="I1536" t="str">
            <v>単独</v>
          </cell>
          <cell r="J1536" t="str">
            <v>002</v>
          </cell>
          <cell r="K1536" t="str">
            <v>三日月浄化センター</v>
          </cell>
          <cell r="M1536" t="str">
            <v>1</v>
          </cell>
          <cell r="N1536" t="str">
            <v>1</v>
          </cell>
          <cell r="Q1536">
            <v>35886</v>
          </cell>
          <cell r="R1536" t="str">
            <v>平成</v>
          </cell>
          <cell r="S1536">
            <v>10</v>
          </cell>
          <cell r="T1536">
            <v>4</v>
          </cell>
          <cell r="AB1536">
            <v>5660</v>
          </cell>
          <cell r="AC1536" t="str">
            <v>千種川下流</v>
          </cell>
          <cell r="AD1536" t="str">
            <v>Ａ</v>
          </cell>
          <cell r="AE1536" t="str">
            <v>イ</v>
          </cell>
          <cell r="AF1536">
            <v>15</v>
          </cell>
          <cell r="AJ1536" t="str">
            <v>志文川</v>
          </cell>
          <cell r="AQ1536" t="str">
            <v/>
          </cell>
          <cell r="AR1536" t="str">
            <v>オキシディションディッチ法</v>
          </cell>
          <cell r="AS1536" t="str">
            <v>2850102002</v>
          </cell>
          <cell r="AT1536" t="str">
            <v/>
          </cell>
          <cell r="AU1536" t="str">
            <v>10</v>
          </cell>
          <cell r="AV1536" t="str">
            <v>10</v>
          </cell>
          <cell r="AW1536">
            <v>0</v>
          </cell>
          <cell r="AX1536">
            <v>0</v>
          </cell>
          <cell r="AY1536">
            <v>0</v>
          </cell>
          <cell r="AZ1536">
            <v>0</v>
          </cell>
          <cell r="BA1536">
            <v>0</v>
          </cell>
          <cell r="BD1536" t="str">
            <v/>
          </cell>
          <cell r="BE1536">
            <v>1</v>
          </cell>
          <cell r="BG1536" t="str">
            <v>1100</v>
          </cell>
        </row>
        <row r="1537">
          <cell r="B1537" t="str">
            <v>G285010206100300</v>
          </cell>
          <cell r="C1537" t="str">
            <v>28.兵庫県</v>
          </cell>
          <cell r="D1537" t="str">
            <v>501</v>
          </cell>
          <cell r="E1537" t="str">
            <v>佐用町</v>
          </cell>
          <cell r="F1537" t="str">
            <v>02</v>
          </cell>
          <cell r="G1537" t="str">
            <v>特環 単独</v>
          </cell>
          <cell r="H1537" t="str">
            <v>特定環境保全公共下水道</v>
          </cell>
          <cell r="I1537" t="str">
            <v>単独</v>
          </cell>
          <cell r="J1537" t="str">
            <v>003</v>
          </cell>
          <cell r="K1537" t="str">
            <v>南光浄化センター</v>
          </cell>
          <cell r="M1537" t="str">
            <v>1</v>
          </cell>
          <cell r="N1537" t="str">
            <v>1</v>
          </cell>
          <cell r="Q1537">
            <v>35947</v>
          </cell>
          <cell r="R1537" t="str">
            <v>平成</v>
          </cell>
          <cell r="S1537">
            <v>10</v>
          </cell>
          <cell r="T1537">
            <v>6</v>
          </cell>
          <cell r="AB1537">
            <v>7933</v>
          </cell>
          <cell r="AC1537" t="str">
            <v>千種川下流</v>
          </cell>
          <cell r="AD1537" t="str">
            <v>Ａ</v>
          </cell>
          <cell r="AE1537" t="str">
            <v>イ</v>
          </cell>
          <cell r="AF1537">
            <v>15</v>
          </cell>
          <cell r="AJ1537" t="str">
            <v>千種川</v>
          </cell>
          <cell r="AQ1537" t="str">
            <v/>
          </cell>
          <cell r="AR1537" t="str">
            <v>オキシディションディッチ法</v>
          </cell>
          <cell r="AS1537" t="str">
            <v>2850102003</v>
          </cell>
          <cell r="AT1537" t="str">
            <v/>
          </cell>
          <cell r="AU1537" t="str">
            <v>10</v>
          </cell>
          <cell r="AV1537" t="str">
            <v>10</v>
          </cell>
          <cell r="AW1537">
            <v>0</v>
          </cell>
          <cell r="AX1537">
            <v>0</v>
          </cell>
          <cell r="AY1537">
            <v>0</v>
          </cell>
          <cell r="AZ1537">
            <v>0</v>
          </cell>
          <cell r="BA1537">
            <v>0</v>
          </cell>
          <cell r="BD1537" t="str">
            <v/>
          </cell>
          <cell r="BE1537">
            <v>1</v>
          </cell>
          <cell r="BG1537" t="str">
            <v>1100</v>
          </cell>
        </row>
        <row r="1538">
          <cell r="B1538" t="str">
            <v>G285010206100400</v>
          </cell>
          <cell r="C1538" t="str">
            <v>28.兵庫県</v>
          </cell>
          <cell r="D1538" t="str">
            <v>501</v>
          </cell>
          <cell r="E1538" t="str">
            <v>佐用町</v>
          </cell>
          <cell r="F1538" t="str">
            <v>02</v>
          </cell>
          <cell r="G1538" t="str">
            <v>特環 単独</v>
          </cell>
          <cell r="H1538" t="str">
            <v>特定環境保全公共下水道</v>
          </cell>
          <cell r="I1538" t="str">
            <v>単独</v>
          </cell>
          <cell r="J1538" t="str">
            <v>004</v>
          </cell>
          <cell r="K1538" t="str">
            <v>佐用浄化センター</v>
          </cell>
          <cell r="M1538" t="str">
            <v>1</v>
          </cell>
          <cell r="N1538" t="str">
            <v>1</v>
          </cell>
          <cell r="Q1538">
            <v>36982</v>
          </cell>
          <cell r="R1538" t="str">
            <v>平成</v>
          </cell>
          <cell r="S1538">
            <v>13</v>
          </cell>
          <cell r="T1538">
            <v>4</v>
          </cell>
          <cell r="AB1538">
            <v>8061</v>
          </cell>
          <cell r="AC1538" t="str">
            <v>千種川下流</v>
          </cell>
          <cell r="AD1538" t="str">
            <v>Ａ</v>
          </cell>
          <cell r="AE1538" t="str">
            <v>イ</v>
          </cell>
          <cell r="AF1538">
            <v>15</v>
          </cell>
          <cell r="AJ1538" t="str">
            <v>佐用川</v>
          </cell>
          <cell r="AQ1538" t="str">
            <v/>
          </cell>
          <cell r="AR1538" t="str">
            <v>オキシディションディッチ法</v>
          </cell>
          <cell r="AS1538" t="str">
            <v>2850102004</v>
          </cell>
          <cell r="AT1538" t="str">
            <v/>
          </cell>
          <cell r="AU1538" t="str">
            <v>10</v>
          </cell>
          <cell r="AV1538" t="str">
            <v>10</v>
          </cell>
          <cell r="AW1538">
            <v>0</v>
          </cell>
          <cell r="AX1538">
            <v>0</v>
          </cell>
          <cell r="AY1538">
            <v>0</v>
          </cell>
          <cell r="AZ1538">
            <v>0</v>
          </cell>
          <cell r="BA1538">
            <v>0</v>
          </cell>
          <cell r="BD1538" t="str">
            <v/>
          </cell>
          <cell r="BE1538">
            <v>1</v>
          </cell>
          <cell r="BG1538" t="str">
            <v>1100</v>
          </cell>
        </row>
        <row r="1539">
          <cell r="B1539" t="str">
            <v>G285010206100500</v>
          </cell>
          <cell r="C1539" t="str">
            <v>28.兵庫県</v>
          </cell>
          <cell r="D1539" t="str">
            <v>501</v>
          </cell>
          <cell r="E1539" t="str">
            <v>佐用町</v>
          </cell>
          <cell r="F1539" t="str">
            <v>02</v>
          </cell>
          <cell r="G1539" t="str">
            <v>特環 単独</v>
          </cell>
          <cell r="H1539" t="str">
            <v>特定環境保全公共下水道</v>
          </cell>
          <cell r="I1539" t="str">
            <v>単独</v>
          </cell>
          <cell r="J1539" t="str">
            <v>005</v>
          </cell>
          <cell r="K1539" t="str">
            <v>上月浄化センター</v>
          </cell>
          <cell r="M1539" t="str">
            <v>1</v>
          </cell>
          <cell r="N1539" t="str">
            <v>1</v>
          </cell>
          <cell r="Q1539">
            <v>38047</v>
          </cell>
          <cell r="R1539" t="str">
            <v>平成</v>
          </cell>
          <cell r="S1539">
            <v>16</v>
          </cell>
          <cell r="T1539">
            <v>3</v>
          </cell>
          <cell r="AB1539">
            <v>3400</v>
          </cell>
          <cell r="AC1539" t="str">
            <v>千種川下流</v>
          </cell>
          <cell r="AD1539" t="str">
            <v>Ａ</v>
          </cell>
          <cell r="AE1539" t="str">
            <v>イ</v>
          </cell>
          <cell r="AF1539">
            <v>12</v>
          </cell>
          <cell r="AG1539">
            <v>10</v>
          </cell>
          <cell r="AH1539">
            <v>0.5</v>
          </cell>
          <cell r="AJ1539" t="str">
            <v>佐用川</v>
          </cell>
          <cell r="AM1539">
            <v>3.1</v>
          </cell>
          <cell r="AN1539">
            <v>2.9</v>
          </cell>
          <cell r="AO1539" t="str">
            <v>佐用町</v>
          </cell>
          <cell r="AQ1539" t="str">
            <v/>
          </cell>
          <cell r="AR1539" t="str">
            <v>高度処理オキシディションディッチ法</v>
          </cell>
          <cell r="AS1539" t="str">
            <v>2850102005</v>
          </cell>
          <cell r="AT1539" t="str">
            <v/>
          </cell>
          <cell r="AU1539" t="str">
            <v>10</v>
          </cell>
          <cell r="AV1539" t="str">
            <v>10</v>
          </cell>
          <cell r="AW1539">
            <v>0</v>
          </cell>
          <cell r="AX1539">
            <v>0</v>
          </cell>
          <cell r="AY1539">
            <v>0</v>
          </cell>
          <cell r="AZ1539">
            <v>0</v>
          </cell>
          <cell r="BA1539">
            <v>0</v>
          </cell>
          <cell r="BD1539" t="str">
            <v/>
          </cell>
          <cell r="BE1539">
            <v>1</v>
          </cell>
          <cell r="BG1539" t="str">
            <v>1100</v>
          </cell>
        </row>
        <row r="1540">
          <cell r="B1540" t="str">
            <v>G285850106100100</v>
          </cell>
          <cell r="C1540" t="str">
            <v>28.兵庫県</v>
          </cell>
          <cell r="D1540" t="str">
            <v>585</v>
          </cell>
          <cell r="E1540" t="str">
            <v>香美町</v>
          </cell>
          <cell r="F1540" t="str">
            <v>01</v>
          </cell>
          <cell r="G1540" t="str">
            <v>公共 単独</v>
          </cell>
          <cell r="H1540" t="str">
            <v>公共下水道</v>
          </cell>
          <cell r="I1540" t="str">
            <v>単独</v>
          </cell>
          <cell r="J1540" t="str">
            <v>001</v>
          </cell>
          <cell r="K1540" t="str">
            <v>香住浄化センター</v>
          </cell>
          <cell r="M1540" t="str">
            <v>1</v>
          </cell>
          <cell r="N1540" t="str">
            <v>1</v>
          </cell>
          <cell r="Q1540">
            <v>38047</v>
          </cell>
          <cell r="R1540" t="str">
            <v>平成</v>
          </cell>
          <cell r="S1540">
            <v>16</v>
          </cell>
          <cell r="T1540">
            <v>3</v>
          </cell>
          <cell r="AB1540">
            <v>11854</v>
          </cell>
          <cell r="AC1540" t="str">
            <v>山陰海岸地先海域</v>
          </cell>
          <cell r="AD1540" t="str">
            <v>Ａ</v>
          </cell>
          <cell r="AE1540" t="str">
            <v>イ</v>
          </cell>
          <cell r="AI1540" t="str">
            <v>森谷川</v>
          </cell>
          <cell r="AQ1540" t="str">
            <v/>
          </cell>
          <cell r="AR1540" t="str">
            <v>標準活性汚泥法</v>
          </cell>
          <cell r="AS1540" t="str">
            <v>2858501001</v>
          </cell>
          <cell r="AT1540" t="str">
            <v/>
          </cell>
          <cell r="AU1540" t="str">
            <v>10</v>
          </cell>
          <cell r="AV1540" t="str">
            <v>10</v>
          </cell>
          <cell r="AW1540">
            <v>0</v>
          </cell>
          <cell r="AX1540">
            <v>0</v>
          </cell>
          <cell r="AY1540">
            <v>0</v>
          </cell>
          <cell r="AZ1540">
            <v>0</v>
          </cell>
          <cell r="BA1540">
            <v>0</v>
          </cell>
          <cell r="BD1540" t="str">
            <v/>
          </cell>
          <cell r="BE1540">
            <v>1</v>
          </cell>
          <cell r="BG1540" t="str">
            <v>1100</v>
          </cell>
        </row>
        <row r="1541">
          <cell r="B1541" t="str">
            <v>G285850206100200</v>
          </cell>
          <cell r="C1541" t="str">
            <v>28.兵庫県</v>
          </cell>
          <cell r="D1541" t="str">
            <v>585</v>
          </cell>
          <cell r="E1541" t="str">
            <v>香美町</v>
          </cell>
          <cell r="F1541" t="str">
            <v>02</v>
          </cell>
          <cell r="G1541" t="str">
            <v>特環 単独</v>
          </cell>
          <cell r="H1541" t="str">
            <v>特定環境保全公共下水道</v>
          </cell>
          <cell r="I1541" t="str">
            <v>単独</v>
          </cell>
          <cell r="J1541" t="str">
            <v>002</v>
          </cell>
          <cell r="K1541" t="str">
            <v>大笹浄化センター</v>
          </cell>
          <cell r="M1541" t="str">
            <v>1</v>
          </cell>
          <cell r="N1541" t="str">
            <v>1</v>
          </cell>
          <cell r="Q1541">
            <v>32874</v>
          </cell>
          <cell r="R1541" t="str">
            <v>平成</v>
          </cell>
          <cell r="S1541">
            <v>2</v>
          </cell>
          <cell r="T1541">
            <v>1</v>
          </cell>
          <cell r="AB1541">
            <v>6614</v>
          </cell>
          <cell r="AC1541" t="str">
            <v>矢田川下流</v>
          </cell>
          <cell r="AD1541" t="str">
            <v>Ａ</v>
          </cell>
          <cell r="AE1541" t="str">
            <v>イ</v>
          </cell>
          <cell r="AF1541">
            <v>15</v>
          </cell>
          <cell r="AJ1541" t="str">
            <v>大谷川</v>
          </cell>
          <cell r="AQ1541" t="str">
            <v/>
          </cell>
          <cell r="AR1541" t="str">
            <v>回分式活性汚泥法</v>
          </cell>
          <cell r="AS1541" t="str">
            <v>2858502002</v>
          </cell>
          <cell r="AT1541" t="str">
            <v/>
          </cell>
          <cell r="AU1541" t="str">
            <v>10</v>
          </cell>
          <cell r="AV1541" t="str">
            <v>10</v>
          </cell>
          <cell r="AW1541">
            <v>0</v>
          </cell>
          <cell r="AX1541">
            <v>0</v>
          </cell>
          <cell r="AY1541">
            <v>0</v>
          </cell>
          <cell r="AZ1541">
            <v>0</v>
          </cell>
          <cell r="BA1541">
            <v>0</v>
          </cell>
          <cell r="BD1541" t="str">
            <v/>
          </cell>
          <cell r="BE1541">
            <v>1</v>
          </cell>
          <cell r="BG1541" t="str">
            <v>1100</v>
          </cell>
        </row>
        <row r="1542">
          <cell r="B1542" t="str">
            <v>G285850206100300</v>
          </cell>
          <cell r="C1542" t="str">
            <v>28.兵庫県</v>
          </cell>
          <cell r="D1542" t="str">
            <v>585</v>
          </cell>
          <cell r="E1542" t="str">
            <v>香美町</v>
          </cell>
          <cell r="F1542" t="str">
            <v>02</v>
          </cell>
          <cell r="G1542" t="str">
            <v>特環 単独</v>
          </cell>
          <cell r="H1542" t="str">
            <v>特定環境保全公共下水道</v>
          </cell>
          <cell r="I1542" t="str">
            <v>単独</v>
          </cell>
          <cell r="J1542" t="str">
            <v>003</v>
          </cell>
          <cell r="K1542" t="str">
            <v>佐津浄化センター</v>
          </cell>
          <cell r="M1542" t="str">
            <v>1</v>
          </cell>
          <cell r="N1542" t="str">
            <v>1</v>
          </cell>
          <cell r="Q1542">
            <v>35490</v>
          </cell>
          <cell r="R1542" t="str">
            <v>平成</v>
          </cell>
          <cell r="S1542">
            <v>9</v>
          </cell>
          <cell r="T1542">
            <v>3</v>
          </cell>
          <cell r="AB1542">
            <v>3013</v>
          </cell>
          <cell r="AC1542" t="str">
            <v>山陰海岸地先海域</v>
          </cell>
          <cell r="AD1542" t="str">
            <v>Ａ</v>
          </cell>
          <cell r="AE1542" t="str">
            <v>イ</v>
          </cell>
          <cell r="AJ1542" t="str">
            <v>佐津川</v>
          </cell>
          <cell r="AQ1542" t="str">
            <v/>
          </cell>
          <cell r="AR1542" t="str">
            <v>オキシディションディッチ法</v>
          </cell>
          <cell r="AS1542" t="str">
            <v>2858502003</v>
          </cell>
          <cell r="AT1542" t="str">
            <v/>
          </cell>
          <cell r="AU1542" t="str">
            <v>10</v>
          </cell>
          <cell r="AV1542" t="str">
            <v>10</v>
          </cell>
          <cell r="AW1542">
            <v>0</v>
          </cell>
          <cell r="AX1542">
            <v>0</v>
          </cell>
          <cell r="AY1542">
            <v>0</v>
          </cell>
          <cell r="AZ1542">
            <v>0</v>
          </cell>
          <cell r="BA1542">
            <v>0</v>
          </cell>
          <cell r="BD1542" t="str">
            <v/>
          </cell>
          <cell r="BE1542">
            <v>1</v>
          </cell>
          <cell r="BG1542" t="str">
            <v>1100</v>
          </cell>
        </row>
        <row r="1543">
          <cell r="B1543" t="str">
            <v>G285850206100400</v>
          </cell>
          <cell r="C1543" t="str">
            <v>28.兵庫県</v>
          </cell>
          <cell r="D1543" t="str">
            <v>585</v>
          </cell>
          <cell r="E1543" t="str">
            <v>香美町</v>
          </cell>
          <cell r="F1543" t="str">
            <v>02</v>
          </cell>
          <cell r="G1543" t="str">
            <v>特環 単独</v>
          </cell>
          <cell r="H1543" t="str">
            <v>特定環境保全公共下水道</v>
          </cell>
          <cell r="I1543" t="str">
            <v>単独</v>
          </cell>
          <cell r="J1543" t="str">
            <v>004</v>
          </cell>
          <cell r="K1543" t="str">
            <v>村岡浄化センター</v>
          </cell>
          <cell r="M1543" t="str">
            <v>1</v>
          </cell>
          <cell r="N1543" t="str">
            <v>1</v>
          </cell>
          <cell r="Q1543">
            <v>35490</v>
          </cell>
          <cell r="R1543" t="str">
            <v>平成</v>
          </cell>
          <cell r="S1543">
            <v>9</v>
          </cell>
          <cell r="T1543">
            <v>3</v>
          </cell>
          <cell r="AB1543">
            <v>7925</v>
          </cell>
          <cell r="AC1543" t="str">
            <v>矢田川下流</v>
          </cell>
          <cell r="AD1543" t="str">
            <v>Ａ</v>
          </cell>
          <cell r="AE1543" t="str">
            <v>イ</v>
          </cell>
          <cell r="AF1543">
            <v>15</v>
          </cell>
          <cell r="AK1543" t="str">
            <v>湯舟川</v>
          </cell>
          <cell r="AQ1543" t="str">
            <v/>
          </cell>
          <cell r="AR1543" t="str">
            <v>オキシディションディッチ法</v>
          </cell>
          <cell r="AS1543" t="str">
            <v>2858502004</v>
          </cell>
          <cell r="AT1543" t="str">
            <v/>
          </cell>
          <cell r="AU1543" t="str">
            <v>10</v>
          </cell>
          <cell r="AV1543" t="str">
            <v>10</v>
          </cell>
          <cell r="AW1543">
            <v>0</v>
          </cell>
          <cell r="AX1543">
            <v>0</v>
          </cell>
          <cell r="AY1543">
            <v>0</v>
          </cell>
          <cell r="AZ1543">
            <v>0</v>
          </cell>
          <cell r="BA1543">
            <v>0</v>
          </cell>
          <cell r="BD1543" t="str">
            <v/>
          </cell>
          <cell r="BE1543">
            <v>1</v>
          </cell>
          <cell r="BG1543" t="str">
            <v>1100</v>
          </cell>
        </row>
        <row r="1544">
          <cell r="B1544" t="str">
            <v>G285850206100500</v>
          </cell>
          <cell r="C1544" t="str">
            <v>28.兵庫県</v>
          </cell>
          <cell r="D1544" t="str">
            <v>585</v>
          </cell>
          <cell r="E1544" t="str">
            <v>香美町</v>
          </cell>
          <cell r="F1544" t="str">
            <v>02</v>
          </cell>
          <cell r="G1544" t="str">
            <v>特環 単独</v>
          </cell>
          <cell r="H1544" t="str">
            <v>特定環境保全公共下水道</v>
          </cell>
          <cell r="I1544" t="str">
            <v>単独</v>
          </cell>
          <cell r="J1544" t="str">
            <v>005</v>
          </cell>
          <cell r="K1544" t="str">
            <v>射添浄化センター</v>
          </cell>
          <cell r="M1544" t="str">
            <v>1</v>
          </cell>
          <cell r="N1544" t="str">
            <v>1</v>
          </cell>
          <cell r="Q1544">
            <v>36100</v>
          </cell>
          <cell r="R1544" t="str">
            <v>平成</v>
          </cell>
          <cell r="S1544">
            <v>10</v>
          </cell>
          <cell r="T1544">
            <v>11</v>
          </cell>
          <cell r="AB1544">
            <v>12500</v>
          </cell>
          <cell r="AC1544" t="str">
            <v>矢田川下流</v>
          </cell>
          <cell r="AD1544" t="str">
            <v>Ａ</v>
          </cell>
          <cell r="AE1544" t="str">
            <v>イ</v>
          </cell>
          <cell r="AF1544">
            <v>15</v>
          </cell>
          <cell r="AJ1544" t="str">
            <v>矢田川</v>
          </cell>
          <cell r="AQ1544" t="str">
            <v/>
          </cell>
          <cell r="AR1544" t="str">
            <v>オキシディションディッチ法</v>
          </cell>
          <cell r="AS1544" t="str">
            <v>2858502005</v>
          </cell>
          <cell r="AT1544" t="str">
            <v/>
          </cell>
          <cell r="AU1544" t="str">
            <v>10</v>
          </cell>
          <cell r="AV1544" t="str">
            <v>10</v>
          </cell>
          <cell r="AW1544">
            <v>0</v>
          </cell>
          <cell r="AX1544">
            <v>0</v>
          </cell>
          <cell r="AY1544">
            <v>0</v>
          </cell>
          <cell r="AZ1544">
            <v>0</v>
          </cell>
          <cell r="BA1544">
            <v>0</v>
          </cell>
          <cell r="BD1544" t="str">
            <v/>
          </cell>
          <cell r="BE1544">
            <v>1</v>
          </cell>
          <cell r="BG1544" t="str">
            <v>1100</v>
          </cell>
        </row>
        <row r="1545">
          <cell r="B1545" t="str">
            <v>G285850206100600</v>
          </cell>
          <cell r="C1545" t="str">
            <v>28.兵庫県</v>
          </cell>
          <cell r="D1545" t="str">
            <v>585</v>
          </cell>
          <cell r="E1545" t="str">
            <v>香美町</v>
          </cell>
          <cell r="F1545" t="str">
            <v>02</v>
          </cell>
          <cell r="G1545" t="str">
            <v>特環 単独</v>
          </cell>
          <cell r="H1545" t="str">
            <v>特定環境保全公共下水道</v>
          </cell>
          <cell r="I1545" t="str">
            <v>単独</v>
          </cell>
          <cell r="J1545" t="str">
            <v>006</v>
          </cell>
          <cell r="K1545" t="str">
            <v>柴山浄化センター</v>
          </cell>
          <cell r="M1545" t="str">
            <v>1</v>
          </cell>
          <cell r="N1545" t="str">
            <v>1</v>
          </cell>
          <cell r="Q1545">
            <v>36982</v>
          </cell>
          <cell r="R1545" t="str">
            <v>平成</v>
          </cell>
          <cell r="S1545">
            <v>13</v>
          </cell>
          <cell r="T1545">
            <v>4</v>
          </cell>
          <cell r="AB1545">
            <v>6614</v>
          </cell>
          <cell r="AC1545" t="str">
            <v>香住海岸地先領域</v>
          </cell>
          <cell r="AD1545" t="str">
            <v>Ａ</v>
          </cell>
          <cell r="AE1545" t="str">
            <v>イ</v>
          </cell>
          <cell r="AI1545" t="str">
            <v>柴山湾</v>
          </cell>
          <cell r="AQ1545" t="str">
            <v/>
          </cell>
          <cell r="AR1545" t="str">
            <v>オキシディションディッチ法</v>
          </cell>
          <cell r="AS1545" t="str">
            <v>2858502006</v>
          </cell>
          <cell r="AT1545" t="str">
            <v/>
          </cell>
          <cell r="AU1545" t="str">
            <v>10</v>
          </cell>
          <cell r="AV1545" t="str">
            <v>10</v>
          </cell>
          <cell r="AW1545">
            <v>0</v>
          </cell>
          <cell r="AX1545">
            <v>0</v>
          </cell>
          <cell r="AY1545">
            <v>0</v>
          </cell>
          <cell r="AZ1545">
            <v>0</v>
          </cell>
          <cell r="BA1545">
            <v>0</v>
          </cell>
          <cell r="BD1545" t="str">
            <v/>
          </cell>
          <cell r="BE1545">
            <v>1</v>
          </cell>
          <cell r="BG1545" t="str">
            <v>1100</v>
          </cell>
        </row>
        <row r="1546">
          <cell r="B1546" t="str">
            <v>G285850206100700</v>
          </cell>
          <cell r="C1546" t="str">
            <v>28.兵庫県</v>
          </cell>
          <cell r="D1546" t="str">
            <v>585</v>
          </cell>
          <cell r="E1546" t="str">
            <v>香美町</v>
          </cell>
          <cell r="F1546" t="str">
            <v>02</v>
          </cell>
          <cell r="G1546" t="str">
            <v>特環 単独</v>
          </cell>
          <cell r="H1546" t="str">
            <v>特定環境保全公共下水道</v>
          </cell>
          <cell r="I1546" t="str">
            <v>単独</v>
          </cell>
          <cell r="J1546" t="str">
            <v>007</v>
          </cell>
          <cell r="K1546" t="str">
            <v>兎塚浄化センター</v>
          </cell>
          <cell r="M1546" t="str">
            <v>1</v>
          </cell>
          <cell r="N1546" t="str">
            <v>1</v>
          </cell>
          <cell r="Q1546">
            <v>37316</v>
          </cell>
          <cell r="R1546" t="str">
            <v>平成</v>
          </cell>
          <cell r="S1546">
            <v>14</v>
          </cell>
          <cell r="T1546">
            <v>3</v>
          </cell>
          <cell r="AB1546">
            <v>6000</v>
          </cell>
          <cell r="AC1546" t="str">
            <v>矢田川下流</v>
          </cell>
          <cell r="AF1546">
            <v>15</v>
          </cell>
          <cell r="AJ1546" t="str">
            <v>丹土川</v>
          </cell>
          <cell r="AQ1546" t="str">
            <v/>
          </cell>
          <cell r="AR1546" t="str">
            <v>オキシディションディッチ法</v>
          </cell>
          <cell r="AS1546" t="str">
            <v>2858502007</v>
          </cell>
          <cell r="AT1546" t="str">
            <v/>
          </cell>
          <cell r="AU1546" t="str">
            <v>10</v>
          </cell>
          <cell r="AV1546" t="str">
            <v>10</v>
          </cell>
          <cell r="AW1546">
            <v>0</v>
          </cell>
          <cell r="AX1546">
            <v>0</v>
          </cell>
          <cell r="AY1546">
            <v>0</v>
          </cell>
          <cell r="AZ1546">
            <v>0</v>
          </cell>
          <cell r="BA1546">
            <v>0</v>
          </cell>
          <cell r="BD1546" t="str">
            <v/>
          </cell>
          <cell r="BE1546">
            <v>1</v>
          </cell>
          <cell r="BG1546" t="str">
            <v>1100</v>
          </cell>
        </row>
        <row r="1547">
          <cell r="B1547" t="str">
            <v>G285850206100800</v>
          </cell>
          <cell r="C1547" t="str">
            <v>28.兵庫県</v>
          </cell>
          <cell r="D1547" t="str">
            <v>585</v>
          </cell>
          <cell r="E1547" t="str">
            <v>香美町</v>
          </cell>
          <cell r="F1547" t="str">
            <v>02</v>
          </cell>
          <cell r="G1547" t="str">
            <v>特環 単独</v>
          </cell>
          <cell r="H1547" t="str">
            <v>特定環境保全公共下水道</v>
          </cell>
          <cell r="I1547" t="str">
            <v>単独</v>
          </cell>
          <cell r="J1547" t="str">
            <v>008</v>
          </cell>
          <cell r="K1547" t="str">
            <v>小代北浄化センター</v>
          </cell>
          <cell r="M1547" t="str">
            <v>1</v>
          </cell>
          <cell r="N1547" t="str">
            <v>1</v>
          </cell>
          <cell r="Q1547">
            <v>37316</v>
          </cell>
          <cell r="R1547" t="str">
            <v>平成</v>
          </cell>
          <cell r="S1547">
            <v>14</v>
          </cell>
          <cell r="T1547">
            <v>3</v>
          </cell>
          <cell r="AB1547">
            <v>3700</v>
          </cell>
          <cell r="AC1547" t="str">
            <v>矢田川下流</v>
          </cell>
          <cell r="AJ1547" t="str">
            <v>矢田川</v>
          </cell>
          <cell r="AQ1547" t="str">
            <v/>
          </cell>
          <cell r="AR1547" t="str">
            <v>オキシディションディッチ法</v>
          </cell>
          <cell r="AS1547" t="str">
            <v>2858502008</v>
          </cell>
          <cell r="AT1547" t="str">
            <v/>
          </cell>
          <cell r="AU1547" t="str">
            <v>10</v>
          </cell>
          <cell r="AV1547" t="str">
            <v>10</v>
          </cell>
          <cell r="AW1547">
            <v>0</v>
          </cell>
          <cell r="AX1547">
            <v>0</v>
          </cell>
          <cell r="AY1547">
            <v>0</v>
          </cell>
          <cell r="AZ1547">
            <v>0</v>
          </cell>
          <cell r="BA1547">
            <v>0</v>
          </cell>
          <cell r="BD1547" t="str">
            <v/>
          </cell>
          <cell r="BE1547">
            <v>1</v>
          </cell>
          <cell r="BG1547" t="str">
            <v>1100</v>
          </cell>
        </row>
        <row r="1548">
          <cell r="B1548" t="str">
            <v>G285860106100100</v>
          </cell>
          <cell r="C1548" t="str">
            <v>28.兵庫県</v>
          </cell>
          <cell r="D1548" t="str">
            <v>586</v>
          </cell>
          <cell r="E1548" t="str">
            <v>新温泉町</v>
          </cell>
          <cell r="F1548" t="str">
            <v>01</v>
          </cell>
          <cell r="G1548" t="str">
            <v>公共 単独</v>
          </cell>
          <cell r="H1548" t="str">
            <v>公共下水道</v>
          </cell>
          <cell r="I1548" t="str">
            <v>単独</v>
          </cell>
          <cell r="J1548" t="str">
            <v>001</v>
          </cell>
          <cell r="K1548" t="str">
            <v>浜坂浄化センター</v>
          </cell>
          <cell r="M1548" t="str">
            <v>1</v>
          </cell>
          <cell r="N1548" t="str">
            <v>1</v>
          </cell>
          <cell r="Q1548">
            <v>36465</v>
          </cell>
          <cell r="R1548" t="str">
            <v>平成</v>
          </cell>
          <cell r="S1548">
            <v>11</v>
          </cell>
          <cell r="T1548">
            <v>11</v>
          </cell>
          <cell r="AB1548">
            <v>15261</v>
          </cell>
          <cell r="AF1548">
            <v>15</v>
          </cell>
          <cell r="AJ1548" t="str">
            <v>岸田川</v>
          </cell>
          <cell r="AQ1548" t="str">
            <v/>
          </cell>
          <cell r="AR1548" t="str">
            <v>オキシディションディッチ法</v>
          </cell>
          <cell r="AS1548" t="str">
            <v>2858601001</v>
          </cell>
          <cell r="AT1548" t="str">
            <v/>
          </cell>
          <cell r="AU1548" t="str">
            <v>10</v>
          </cell>
          <cell r="AV1548" t="str">
            <v>10</v>
          </cell>
          <cell r="AW1548">
            <v>0</v>
          </cell>
          <cell r="AX1548">
            <v>0</v>
          </cell>
          <cell r="AY1548">
            <v>0</v>
          </cell>
          <cell r="AZ1548">
            <v>0</v>
          </cell>
          <cell r="BA1548">
            <v>0</v>
          </cell>
          <cell r="BD1548" t="str">
            <v/>
          </cell>
          <cell r="BE1548">
            <v>1</v>
          </cell>
          <cell r="BG1548" t="str">
            <v>1100</v>
          </cell>
        </row>
        <row r="1549">
          <cell r="B1549" t="str">
            <v>G285860206100200</v>
          </cell>
          <cell r="C1549" t="str">
            <v>28.兵庫県</v>
          </cell>
          <cell r="D1549" t="str">
            <v>586</v>
          </cell>
          <cell r="E1549" t="str">
            <v>新温泉町</v>
          </cell>
          <cell r="F1549" t="str">
            <v>02</v>
          </cell>
          <cell r="G1549" t="str">
            <v>特環 単独</v>
          </cell>
          <cell r="H1549" t="str">
            <v>特定環境保全公共下水道</v>
          </cell>
          <cell r="I1549" t="str">
            <v>単独</v>
          </cell>
          <cell r="J1549" t="str">
            <v>002</v>
          </cell>
          <cell r="K1549" t="str">
            <v>居組浄化センター</v>
          </cell>
          <cell r="M1549" t="str">
            <v>1</v>
          </cell>
          <cell r="N1549" t="str">
            <v>1</v>
          </cell>
          <cell r="Q1549">
            <v>36130</v>
          </cell>
          <cell r="R1549" t="str">
            <v>平成</v>
          </cell>
          <cell r="S1549">
            <v>10</v>
          </cell>
          <cell r="T1549">
            <v>12</v>
          </cell>
          <cell r="AB1549">
            <v>1506</v>
          </cell>
          <cell r="AC1549" t="str">
            <v>設定なし</v>
          </cell>
          <cell r="AF1549">
            <v>15</v>
          </cell>
          <cell r="AJ1549" t="str">
            <v>結川</v>
          </cell>
          <cell r="AQ1549" t="str">
            <v/>
          </cell>
          <cell r="AR1549" t="str">
            <v>オキシディションディッチ法</v>
          </cell>
          <cell r="AS1549" t="str">
            <v>2858602002</v>
          </cell>
          <cell r="AT1549" t="str">
            <v/>
          </cell>
          <cell r="AU1549" t="str">
            <v>10</v>
          </cell>
          <cell r="AV1549" t="str">
            <v>10</v>
          </cell>
          <cell r="AW1549">
            <v>0</v>
          </cell>
          <cell r="AX1549">
            <v>0</v>
          </cell>
          <cell r="AY1549">
            <v>0</v>
          </cell>
          <cell r="AZ1549">
            <v>0</v>
          </cell>
          <cell r="BA1549">
            <v>0</v>
          </cell>
          <cell r="BD1549" t="str">
            <v/>
          </cell>
          <cell r="BE1549">
            <v>1</v>
          </cell>
          <cell r="BG1549" t="str">
            <v>1100</v>
          </cell>
        </row>
        <row r="1550">
          <cell r="B1550" t="str">
            <v>G285860206100300</v>
          </cell>
          <cell r="C1550" t="str">
            <v>28.兵庫県</v>
          </cell>
          <cell r="D1550" t="str">
            <v>586</v>
          </cell>
          <cell r="E1550" t="str">
            <v>新温泉町</v>
          </cell>
          <cell r="F1550" t="str">
            <v>02</v>
          </cell>
          <cell r="G1550" t="str">
            <v>特環 単独</v>
          </cell>
          <cell r="H1550" t="str">
            <v>特定環境保全公共下水道</v>
          </cell>
          <cell r="I1550" t="str">
            <v>単独</v>
          </cell>
          <cell r="J1550" t="str">
            <v>003</v>
          </cell>
          <cell r="K1550" t="str">
            <v>諸寄浄化センター</v>
          </cell>
          <cell r="M1550" t="str">
            <v>1</v>
          </cell>
          <cell r="N1550" t="str">
            <v>1</v>
          </cell>
          <cell r="Q1550">
            <v>37316</v>
          </cell>
          <cell r="R1550" t="str">
            <v>平成</v>
          </cell>
          <cell r="S1550">
            <v>14</v>
          </cell>
          <cell r="T1550">
            <v>3</v>
          </cell>
          <cell r="AB1550">
            <v>3794</v>
          </cell>
          <cell r="AC1550" t="str">
            <v>設定なし</v>
          </cell>
          <cell r="AF1550">
            <v>15</v>
          </cell>
          <cell r="AJ1550" t="str">
            <v>大栃川</v>
          </cell>
          <cell r="AQ1550" t="str">
            <v/>
          </cell>
          <cell r="AR1550" t="str">
            <v>オキシディションディッチ法</v>
          </cell>
          <cell r="AS1550" t="str">
            <v>2858602003</v>
          </cell>
          <cell r="AT1550" t="str">
            <v/>
          </cell>
          <cell r="AU1550" t="str">
            <v>10</v>
          </cell>
          <cell r="AV1550" t="str">
            <v>10</v>
          </cell>
          <cell r="AW1550">
            <v>0</v>
          </cell>
          <cell r="AX1550">
            <v>0</v>
          </cell>
          <cell r="AY1550">
            <v>0</v>
          </cell>
          <cell r="AZ1550">
            <v>0</v>
          </cell>
          <cell r="BA1550">
            <v>0</v>
          </cell>
          <cell r="BD1550" t="str">
            <v/>
          </cell>
          <cell r="BE1550">
            <v>1</v>
          </cell>
          <cell r="BG1550" t="str">
            <v>1100</v>
          </cell>
        </row>
        <row r="1551">
          <cell r="B1551" t="str">
            <v>G285860206100400</v>
          </cell>
          <cell r="C1551" t="str">
            <v>28.兵庫県</v>
          </cell>
          <cell r="D1551" t="str">
            <v>586</v>
          </cell>
          <cell r="E1551" t="str">
            <v>新温泉町</v>
          </cell>
          <cell r="F1551" t="str">
            <v>02</v>
          </cell>
          <cell r="G1551" t="str">
            <v>特環 単独</v>
          </cell>
          <cell r="H1551" t="str">
            <v>特定環境保全公共下水道</v>
          </cell>
          <cell r="I1551" t="str">
            <v>単独</v>
          </cell>
          <cell r="J1551" t="str">
            <v>004</v>
          </cell>
          <cell r="K1551" t="str">
            <v>温泉中央浄化センター</v>
          </cell>
          <cell r="M1551" t="str">
            <v>1</v>
          </cell>
          <cell r="N1551" t="str">
            <v>1</v>
          </cell>
          <cell r="Q1551">
            <v>38261</v>
          </cell>
          <cell r="R1551" t="str">
            <v>平成</v>
          </cell>
          <cell r="S1551">
            <v>16</v>
          </cell>
          <cell r="T1551">
            <v>10</v>
          </cell>
          <cell r="AB1551">
            <v>6900</v>
          </cell>
          <cell r="AC1551" t="str">
            <v>設定なし</v>
          </cell>
          <cell r="AF1551">
            <v>15</v>
          </cell>
          <cell r="AJ1551" t="str">
            <v>岸田川</v>
          </cell>
          <cell r="AQ1551" t="str">
            <v/>
          </cell>
          <cell r="AR1551" t="str">
            <v>オキシディションディッチ法</v>
          </cell>
          <cell r="AS1551" t="str">
            <v>2858602004</v>
          </cell>
          <cell r="AT1551" t="str">
            <v/>
          </cell>
          <cell r="AU1551" t="str">
            <v>10</v>
          </cell>
          <cell r="AV1551" t="str">
            <v>10</v>
          </cell>
          <cell r="AW1551">
            <v>0</v>
          </cell>
          <cell r="AX1551">
            <v>0</v>
          </cell>
          <cell r="AY1551">
            <v>0</v>
          </cell>
          <cell r="AZ1551">
            <v>0</v>
          </cell>
          <cell r="BA1551">
            <v>0</v>
          </cell>
          <cell r="BD1551" t="str">
            <v/>
          </cell>
          <cell r="BE1551">
            <v>1</v>
          </cell>
          <cell r="BG1551" t="str">
            <v>1100</v>
          </cell>
        </row>
        <row r="1552">
          <cell r="B1552" t="str">
            <v>G288010106100100</v>
          </cell>
          <cell r="C1552" t="str">
            <v>28.兵庫県</v>
          </cell>
          <cell r="D1552" t="str">
            <v>801</v>
          </cell>
          <cell r="E1552" t="str">
            <v>播磨高原広域事務組合</v>
          </cell>
          <cell r="F1552" t="str">
            <v>01</v>
          </cell>
          <cell r="G1552" t="str">
            <v>公共 単独</v>
          </cell>
          <cell r="H1552" t="str">
            <v>公共下水道</v>
          </cell>
          <cell r="I1552" t="str">
            <v>単独</v>
          </cell>
          <cell r="J1552" t="str">
            <v>001</v>
          </cell>
          <cell r="K1552" t="str">
            <v>播磨高原浄化センター</v>
          </cell>
          <cell r="M1552" t="str">
            <v>1</v>
          </cell>
          <cell r="N1552" t="str">
            <v>1</v>
          </cell>
          <cell r="Q1552">
            <v>33025</v>
          </cell>
          <cell r="R1552" t="str">
            <v>平成</v>
          </cell>
          <cell r="S1552">
            <v>2</v>
          </cell>
          <cell r="T1552">
            <v>6</v>
          </cell>
          <cell r="AB1552">
            <v>28715</v>
          </cell>
          <cell r="AC1552" t="str">
            <v>瀬戸内海</v>
          </cell>
          <cell r="AD1552" t="str">
            <v>Ａ</v>
          </cell>
          <cell r="AE1552" t="str">
            <v>設定なし</v>
          </cell>
          <cell r="AF1552">
            <v>8</v>
          </cell>
          <cell r="AG1552">
            <v>20</v>
          </cell>
          <cell r="AH1552">
            <v>1</v>
          </cell>
          <cell r="AI1552" t="str">
            <v>鞍居川</v>
          </cell>
          <cell r="AJ1552" t="str">
            <v>千種川</v>
          </cell>
          <cell r="AL1552" t="str">
            <v>なし</v>
          </cell>
          <cell r="AQ1552" t="str">
            <v/>
          </cell>
          <cell r="AR1552" t="str">
            <v>循環式硝化脱窒法</v>
          </cell>
          <cell r="AS1552" t="str">
            <v>2880101001</v>
          </cell>
          <cell r="AT1552" t="str">
            <v/>
          </cell>
          <cell r="AU1552" t="str">
            <v>10</v>
          </cell>
          <cell r="AV1552" t="str">
            <v>10</v>
          </cell>
          <cell r="AW1552">
            <v>0</v>
          </cell>
          <cell r="AX1552">
            <v>0</v>
          </cell>
          <cell r="AY1552">
            <v>0</v>
          </cell>
          <cell r="AZ1552">
            <v>0</v>
          </cell>
          <cell r="BA1552">
            <v>0</v>
          </cell>
          <cell r="BD1552" t="str">
            <v/>
          </cell>
          <cell r="BE1552">
            <v>1</v>
          </cell>
          <cell r="BG1552" t="str">
            <v>1100</v>
          </cell>
        </row>
        <row r="1553">
          <cell r="B1553" t="str">
            <v>G290018106100100</v>
          </cell>
          <cell r="C1553" t="str">
            <v>29.奈良県</v>
          </cell>
          <cell r="D1553" t="str">
            <v>001</v>
          </cell>
          <cell r="E1553" t="str">
            <v>大和川上流流域</v>
          </cell>
          <cell r="F1553" t="str">
            <v>81</v>
          </cell>
          <cell r="G1553" t="str">
            <v>流域</v>
          </cell>
          <cell r="H1553" t="str">
            <v>流域下水道</v>
          </cell>
          <cell r="I1553" t="str">
            <v/>
          </cell>
          <cell r="J1553" t="str">
            <v>001</v>
          </cell>
          <cell r="K1553" t="str">
            <v>浄化センター</v>
          </cell>
          <cell r="M1553" t="str">
            <v>1</v>
          </cell>
          <cell r="N1553" t="str">
            <v>1</v>
          </cell>
          <cell r="P1553" t="str">
            <v>1</v>
          </cell>
          <cell r="Q1553">
            <v>27181</v>
          </cell>
          <cell r="R1553" t="str">
            <v>昭和</v>
          </cell>
          <cell r="S1553">
            <v>49</v>
          </cell>
          <cell r="T1553">
            <v>6</v>
          </cell>
          <cell r="AB1553">
            <v>575000</v>
          </cell>
          <cell r="AC1553" t="str">
            <v>大和川</v>
          </cell>
          <cell r="AD1553" t="str">
            <v>Ｃ</v>
          </cell>
          <cell r="AE1553" t="str">
            <v>ハ</v>
          </cell>
          <cell r="AF1553">
            <v>11</v>
          </cell>
          <cell r="AG1553">
            <v>15</v>
          </cell>
          <cell r="AH1553">
            <v>3</v>
          </cell>
          <cell r="AK1553" t="str">
            <v>大和川</v>
          </cell>
          <cell r="AQ1553" t="str">
            <v/>
          </cell>
          <cell r="AR1553" t="str">
            <v>標準活性汚泥法</v>
          </cell>
          <cell r="AS1553" t="str">
            <v>2900181001</v>
          </cell>
          <cell r="AT1553" t="str">
            <v/>
          </cell>
          <cell r="AU1553" t="str">
            <v>10</v>
          </cell>
          <cell r="AV1553" t="str">
            <v>10</v>
          </cell>
          <cell r="AW1553">
            <v>1</v>
          </cell>
          <cell r="AX1553">
            <v>0</v>
          </cell>
          <cell r="AY1553">
            <v>0</v>
          </cell>
          <cell r="AZ1553">
            <v>0</v>
          </cell>
          <cell r="BA1553">
            <v>0</v>
          </cell>
          <cell r="BD1553" t="str">
            <v/>
          </cell>
          <cell r="BE1553">
            <v>1</v>
          </cell>
          <cell r="BG1553" t="str">
            <v>1101</v>
          </cell>
        </row>
        <row r="1554">
          <cell r="B1554" t="str">
            <v>G290018106100200</v>
          </cell>
          <cell r="C1554" t="str">
            <v>29.奈良県</v>
          </cell>
          <cell r="D1554" t="str">
            <v>001</v>
          </cell>
          <cell r="E1554" t="str">
            <v>大和川上流流域</v>
          </cell>
          <cell r="F1554" t="str">
            <v>81</v>
          </cell>
          <cell r="G1554" t="str">
            <v>流域</v>
          </cell>
          <cell r="H1554" t="str">
            <v>流域下水道</v>
          </cell>
          <cell r="I1554" t="str">
            <v/>
          </cell>
          <cell r="J1554" t="str">
            <v>002</v>
          </cell>
          <cell r="K1554" t="str">
            <v>第二浄化センター</v>
          </cell>
          <cell r="M1554" t="str">
            <v>1</v>
          </cell>
          <cell r="N1554" t="str">
            <v>1</v>
          </cell>
          <cell r="O1554" t="str">
            <v>1</v>
          </cell>
          <cell r="P1554" t="str">
            <v>1</v>
          </cell>
          <cell r="Q1554">
            <v>30773</v>
          </cell>
          <cell r="R1554" t="str">
            <v>昭和</v>
          </cell>
          <cell r="S1554">
            <v>59</v>
          </cell>
          <cell r="T1554">
            <v>4</v>
          </cell>
          <cell r="AB1554">
            <v>390000</v>
          </cell>
          <cell r="AC1554" t="str">
            <v>大和川</v>
          </cell>
          <cell r="AD1554" t="str">
            <v>Ｃ</v>
          </cell>
          <cell r="AE1554" t="str">
            <v>ハ</v>
          </cell>
          <cell r="AF1554">
            <v>8</v>
          </cell>
          <cell r="AG1554">
            <v>11</v>
          </cell>
          <cell r="AH1554">
            <v>1</v>
          </cell>
          <cell r="AK1554" t="str">
            <v>曽我川</v>
          </cell>
          <cell r="AQ1554" t="str">
            <v/>
          </cell>
          <cell r="AR1554" t="str">
            <v>標準活性汚泥法</v>
          </cell>
          <cell r="AS1554" t="str">
            <v>2900181002</v>
          </cell>
          <cell r="AT1554" t="str">
            <v/>
          </cell>
          <cell r="AU1554" t="str">
            <v>11</v>
          </cell>
          <cell r="AV1554" t="str">
            <v>11</v>
          </cell>
          <cell r="AW1554">
            <v>1</v>
          </cell>
          <cell r="AX1554">
            <v>0</v>
          </cell>
          <cell r="AY1554">
            <v>0</v>
          </cell>
          <cell r="AZ1554">
            <v>0</v>
          </cell>
          <cell r="BA1554">
            <v>0</v>
          </cell>
          <cell r="BD1554" t="str">
            <v/>
          </cell>
          <cell r="BE1554">
            <v>1</v>
          </cell>
          <cell r="BG1554" t="str">
            <v>1111</v>
          </cell>
        </row>
        <row r="1555">
          <cell r="B1555" t="str">
            <v>G290028106100100</v>
          </cell>
          <cell r="C1555" t="str">
            <v>29.奈良県</v>
          </cell>
          <cell r="D1555" t="str">
            <v>002</v>
          </cell>
          <cell r="E1555" t="str">
            <v>宇陀川流域</v>
          </cell>
          <cell r="F1555" t="str">
            <v>81</v>
          </cell>
          <cell r="G1555" t="str">
            <v>流域</v>
          </cell>
          <cell r="H1555" t="str">
            <v>流域下水道</v>
          </cell>
          <cell r="I1555" t="str">
            <v/>
          </cell>
          <cell r="J1555" t="str">
            <v>001</v>
          </cell>
          <cell r="K1555" t="str">
            <v>宇陀川浄化センター</v>
          </cell>
          <cell r="M1555" t="str">
            <v>1</v>
          </cell>
          <cell r="N1555" t="str">
            <v>1</v>
          </cell>
          <cell r="P1555" t="str">
            <v>1</v>
          </cell>
          <cell r="Q1555">
            <v>31868</v>
          </cell>
          <cell r="R1555" t="str">
            <v>昭和</v>
          </cell>
          <cell r="S1555">
            <v>62</v>
          </cell>
          <cell r="T1555">
            <v>4</v>
          </cell>
          <cell r="AB1555">
            <v>38000</v>
          </cell>
          <cell r="AC1555" t="str">
            <v>宇陀川</v>
          </cell>
          <cell r="AD1555" t="str">
            <v>Ａ</v>
          </cell>
          <cell r="AE1555" t="str">
            <v>イ</v>
          </cell>
          <cell r="AF1555">
            <v>10</v>
          </cell>
          <cell r="AG1555">
            <v>19</v>
          </cell>
          <cell r="AH1555">
            <v>1</v>
          </cell>
          <cell r="AK1555" t="str">
            <v>宇陀川</v>
          </cell>
          <cell r="AQ1555" t="str">
            <v/>
          </cell>
          <cell r="AR1555" t="str">
            <v>嫌気無酸素好気法</v>
          </cell>
          <cell r="AS1555" t="str">
            <v>2900281001</v>
          </cell>
          <cell r="AT1555" t="str">
            <v/>
          </cell>
          <cell r="AU1555" t="str">
            <v>10</v>
          </cell>
          <cell r="AV1555" t="str">
            <v>10</v>
          </cell>
          <cell r="AW1555">
            <v>1</v>
          </cell>
          <cell r="AX1555">
            <v>0</v>
          </cell>
          <cell r="AY1555">
            <v>0</v>
          </cell>
          <cell r="AZ1555">
            <v>0</v>
          </cell>
          <cell r="BA1555">
            <v>0</v>
          </cell>
          <cell r="BD1555" t="str">
            <v/>
          </cell>
          <cell r="BE1555">
            <v>1</v>
          </cell>
          <cell r="BG1555" t="str">
            <v>1101</v>
          </cell>
        </row>
        <row r="1556">
          <cell r="B1556" t="str">
            <v>G290038106100100</v>
          </cell>
          <cell r="C1556" t="str">
            <v>29.奈良県</v>
          </cell>
          <cell r="D1556" t="str">
            <v>003</v>
          </cell>
          <cell r="E1556" t="str">
            <v>吉野川流域</v>
          </cell>
          <cell r="F1556" t="str">
            <v>81</v>
          </cell>
          <cell r="G1556" t="str">
            <v>流域</v>
          </cell>
          <cell r="H1556" t="str">
            <v>流域下水道</v>
          </cell>
          <cell r="I1556" t="str">
            <v/>
          </cell>
          <cell r="J1556" t="str">
            <v>001</v>
          </cell>
          <cell r="K1556" t="str">
            <v>吉野川浄化センター</v>
          </cell>
          <cell r="M1556" t="str">
            <v>1</v>
          </cell>
          <cell r="N1556" t="str">
            <v>1</v>
          </cell>
          <cell r="P1556" t="str">
            <v>1</v>
          </cell>
          <cell r="Q1556">
            <v>33329</v>
          </cell>
          <cell r="R1556" t="str">
            <v>平成</v>
          </cell>
          <cell r="S1556">
            <v>3</v>
          </cell>
          <cell r="T1556">
            <v>4</v>
          </cell>
          <cell r="AB1556">
            <v>130400</v>
          </cell>
          <cell r="AC1556" t="str">
            <v>紀ノ川</v>
          </cell>
          <cell r="AD1556" t="str">
            <v>Ａ</v>
          </cell>
          <cell r="AE1556" t="str">
            <v>イ</v>
          </cell>
          <cell r="AF1556">
            <v>9</v>
          </cell>
          <cell r="AG1556">
            <v>13</v>
          </cell>
          <cell r="AH1556">
            <v>2</v>
          </cell>
          <cell r="AK1556" t="str">
            <v>紀ノ川</v>
          </cell>
          <cell r="AL1556" t="str">
            <v>橋本市隅田町芋生</v>
          </cell>
          <cell r="AN1556">
            <v>3.4</v>
          </cell>
          <cell r="AO1556" t="str">
            <v>橋本市</v>
          </cell>
          <cell r="AQ1556" t="str">
            <v/>
          </cell>
          <cell r="AR1556" t="str">
            <v>循環式硝化脱窒法</v>
          </cell>
          <cell r="AS1556" t="str">
            <v>2900381001</v>
          </cell>
          <cell r="AT1556" t="str">
            <v/>
          </cell>
          <cell r="AU1556" t="str">
            <v>10</v>
          </cell>
          <cell r="AV1556" t="str">
            <v>10</v>
          </cell>
          <cell r="AW1556">
            <v>1</v>
          </cell>
          <cell r="AX1556">
            <v>0</v>
          </cell>
          <cell r="AY1556">
            <v>0</v>
          </cell>
          <cell r="AZ1556">
            <v>0</v>
          </cell>
          <cell r="BA1556">
            <v>0</v>
          </cell>
          <cell r="BD1556" t="str">
            <v/>
          </cell>
          <cell r="BE1556">
            <v>1</v>
          </cell>
          <cell r="BG1556" t="str">
            <v>1101</v>
          </cell>
        </row>
        <row r="1557">
          <cell r="B1557" t="str">
            <v>G292010106100100</v>
          </cell>
          <cell r="C1557" t="str">
            <v>29.奈良県</v>
          </cell>
          <cell r="D1557" t="str">
            <v>201</v>
          </cell>
          <cell r="E1557" t="str">
            <v>奈良市</v>
          </cell>
          <cell r="F1557" t="str">
            <v>01</v>
          </cell>
          <cell r="G1557" t="str">
            <v>公共 単独</v>
          </cell>
          <cell r="H1557" t="str">
            <v>公共下水道</v>
          </cell>
          <cell r="I1557" t="str">
            <v>単独</v>
          </cell>
          <cell r="J1557" t="str">
            <v>001</v>
          </cell>
          <cell r="K1557" t="str">
            <v>青山清水園</v>
          </cell>
          <cell r="M1557" t="str">
            <v>1</v>
          </cell>
          <cell r="N1557" t="str">
            <v>1</v>
          </cell>
          <cell r="Q1557">
            <v>30773</v>
          </cell>
          <cell r="R1557" t="str">
            <v>昭和</v>
          </cell>
          <cell r="S1557">
            <v>59</v>
          </cell>
          <cell r="T1557">
            <v>4</v>
          </cell>
          <cell r="AB1557">
            <v>6900</v>
          </cell>
          <cell r="AC1557" t="str">
            <v>木津川</v>
          </cell>
          <cell r="AF1557">
            <v>5</v>
          </cell>
          <cell r="AG1557">
            <v>20</v>
          </cell>
          <cell r="AH1557">
            <v>2</v>
          </cell>
          <cell r="AI1557" t="str">
            <v>鹿川</v>
          </cell>
          <cell r="AJ1557" t="str">
            <v>山田川</v>
          </cell>
          <cell r="AK1557" t="str">
            <v>木津川</v>
          </cell>
          <cell r="AQ1557" t="str">
            <v/>
          </cell>
          <cell r="AR1557" t="str">
            <v>標準活性汚泥法</v>
          </cell>
          <cell r="AS1557" t="str">
            <v>2920101001</v>
          </cell>
          <cell r="AT1557" t="str">
            <v/>
          </cell>
          <cell r="AU1557" t="str">
            <v>10</v>
          </cell>
          <cell r="AV1557" t="str">
            <v>10</v>
          </cell>
          <cell r="AW1557">
            <v>0</v>
          </cell>
          <cell r="AX1557">
            <v>0</v>
          </cell>
          <cell r="AY1557">
            <v>0</v>
          </cell>
          <cell r="AZ1557">
            <v>0</v>
          </cell>
          <cell r="BA1557">
            <v>0</v>
          </cell>
          <cell r="BD1557" t="str">
            <v/>
          </cell>
          <cell r="BE1557">
            <v>1</v>
          </cell>
          <cell r="BG1557" t="str">
            <v>1100</v>
          </cell>
        </row>
        <row r="1558">
          <cell r="B1558" t="str">
            <v>G292010106100200</v>
          </cell>
          <cell r="C1558" t="str">
            <v>29.奈良県</v>
          </cell>
          <cell r="D1558" t="str">
            <v>201</v>
          </cell>
          <cell r="E1558" t="str">
            <v>奈良市</v>
          </cell>
          <cell r="F1558" t="str">
            <v>01</v>
          </cell>
          <cell r="G1558" t="str">
            <v>公共 単独</v>
          </cell>
          <cell r="H1558" t="str">
            <v>公共下水道</v>
          </cell>
          <cell r="I1558" t="str">
            <v>単独</v>
          </cell>
          <cell r="J1558" t="str">
            <v>002</v>
          </cell>
          <cell r="K1558" t="str">
            <v>平城浄化センター</v>
          </cell>
          <cell r="M1558" t="str">
            <v>1</v>
          </cell>
          <cell r="N1558" t="str">
            <v>1</v>
          </cell>
          <cell r="P1558" t="str">
            <v>1</v>
          </cell>
          <cell r="Q1558">
            <v>33086</v>
          </cell>
          <cell r="R1558" t="str">
            <v>平成</v>
          </cell>
          <cell r="S1558">
            <v>2</v>
          </cell>
          <cell r="T1558">
            <v>8</v>
          </cell>
          <cell r="AB1558">
            <v>12370</v>
          </cell>
          <cell r="AC1558" t="str">
            <v>木津川</v>
          </cell>
          <cell r="AF1558">
            <v>10</v>
          </cell>
          <cell r="AG1558">
            <v>20</v>
          </cell>
          <cell r="AH1558">
            <v>2</v>
          </cell>
          <cell r="AI1558" t="str">
            <v>渋谷川</v>
          </cell>
          <cell r="AJ1558" t="str">
            <v>山田川</v>
          </cell>
          <cell r="AK1558" t="str">
            <v>木津川</v>
          </cell>
          <cell r="AL1558" t="str">
            <v>京都府水道木津浄水場</v>
          </cell>
          <cell r="AN1558">
            <v>5.5</v>
          </cell>
          <cell r="AO1558" t="str">
            <v>木津川市・精華町</v>
          </cell>
          <cell r="AQ1558" t="str">
            <v/>
          </cell>
          <cell r="AR1558" t="str">
            <v>標準活性汚泥法</v>
          </cell>
          <cell r="AS1558" t="str">
            <v>2920101002</v>
          </cell>
          <cell r="AT1558" t="str">
            <v/>
          </cell>
          <cell r="AU1558" t="str">
            <v>10</v>
          </cell>
          <cell r="AV1558" t="str">
            <v>10</v>
          </cell>
          <cell r="AW1558">
            <v>1</v>
          </cell>
          <cell r="AX1558">
            <v>0</v>
          </cell>
          <cell r="AY1558">
            <v>0</v>
          </cell>
          <cell r="AZ1558">
            <v>0</v>
          </cell>
          <cell r="BA1558">
            <v>0</v>
          </cell>
          <cell r="BD1558" t="str">
            <v/>
          </cell>
          <cell r="BE1558">
            <v>1</v>
          </cell>
          <cell r="BG1558" t="str">
            <v>1101</v>
          </cell>
        </row>
        <row r="1559">
          <cell r="B1559" t="str">
            <v>G292010106100300</v>
          </cell>
          <cell r="C1559" t="str">
            <v>29.奈良県</v>
          </cell>
          <cell r="D1559" t="str">
            <v>201</v>
          </cell>
          <cell r="E1559" t="str">
            <v>奈良市</v>
          </cell>
          <cell r="F1559" t="str">
            <v>01</v>
          </cell>
          <cell r="G1559" t="str">
            <v>公共 単独</v>
          </cell>
          <cell r="H1559" t="str">
            <v>公共下水道</v>
          </cell>
          <cell r="I1559" t="str">
            <v>単独</v>
          </cell>
          <cell r="J1559" t="str">
            <v>003</v>
          </cell>
          <cell r="K1559" t="str">
            <v>佐保台浄化センター</v>
          </cell>
          <cell r="M1559" t="str">
            <v>1</v>
          </cell>
          <cell r="N1559" t="str">
            <v>1</v>
          </cell>
          <cell r="Q1559">
            <v>35156</v>
          </cell>
          <cell r="R1559" t="str">
            <v>平成</v>
          </cell>
          <cell r="S1559">
            <v>8</v>
          </cell>
          <cell r="T1559">
            <v>4</v>
          </cell>
          <cell r="AB1559">
            <v>4496</v>
          </cell>
          <cell r="AC1559" t="str">
            <v>木津川</v>
          </cell>
          <cell r="AF1559">
            <v>5</v>
          </cell>
          <cell r="AG1559">
            <v>20</v>
          </cell>
          <cell r="AH1559">
            <v>2</v>
          </cell>
          <cell r="AI1559" t="str">
            <v>鹿川</v>
          </cell>
          <cell r="AJ1559" t="str">
            <v>山田川</v>
          </cell>
          <cell r="AK1559" t="str">
            <v>木津川</v>
          </cell>
          <cell r="AQ1559" t="str">
            <v/>
          </cell>
          <cell r="AR1559" t="str">
            <v>循環式硝化脱窒法</v>
          </cell>
          <cell r="AS1559" t="str">
            <v>2920101003</v>
          </cell>
          <cell r="AT1559" t="str">
            <v/>
          </cell>
          <cell r="AU1559" t="str">
            <v>10</v>
          </cell>
          <cell r="AV1559" t="str">
            <v>10</v>
          </cell>
          <cell r="AW1559">
            <v>0</v>
          </cell>
          <cell r="AX1559">
            <v>0</v>
          </cell>
          <cell r="AY1559">
            <v>0</v>
          </cell>
          <cell r="AZ1559">
            <v>0</v>
          </cell>
          <cell r="BA1559">
            <v>0</v>
          </cell>
          <cell r="BD1559" t="str">
            <v/>
          </cell>
          <cell r="BE1559">
            <v>1</v>
          </cell>
          <cell r="BG1559" t="str">
            <v>1100</v>
          </cell>
        </row>
        <row r="1560">
          <cell r="B1560" t="str">
            <v>G292010206100400</v>
          </cell>
          <cell r="C1560" t="str">
            <v>29.奈良県</v>
          </cell>
          <cell r="D1560" t="str">
            <v>201</v>
          </cell>
          <cell r="E1560" t="str">
            <v>奈良市</v>
          </cell>
          <cell r="F1560" t="str">
            <v>02</v>
          </cell>
          <cell r="G1560" t="str">
            <v>特環 単独</v>
          </cell>
          <cell r="H1560" t="str">
            <v>特定環境保全公共下水道</v>
          </cell>
          <cell r="I1560" t="str">
            <v>単独</v>
          </cell>
          <cell r="J1560" t="str">
            <v>004</v>
          </cell>
          <cell r="K1560" t="str">
            <v>月ヶ瀬地区浄化センター</v>
          </cell>
          <cell r="M1560" t="str">
            <v>1</v>
          </cell>
          <cell r="N1560" t="str">
            <v>1</v>
          </cell>
          <cell r="Q1560">
            <v>33878</v>
          </cell>
          <cell r="R1560" t="str">
            <v>平成</v>
          </cell>
          <cell r="S1560">
            <v>4</v>
          </cell>
          <cell r="T1560">
            <v>10</v>
          </cell>
          <cell r="AB1560">
            <v>635</v>
          </cell>
          <cell r="AC1560" t="str">
            <v>設定なし</v>
          </cell>
          <cell r="AF1560">
            <v>20</v>
          </cell>
          <cell r="AI1560" t="str">
            <v>清水川</v>
          </cell>
          <cell r="AJ1560" t="str">
            <v>名張川</v>
          </cell>
          <cell r="AK1560" t="str">
            <v>木津川</v>
          </cell>
          <cell r="AL1560" t="str">
            <v>月ヶ瀬桃香野高山ダム</v>
          </cell>
          <cell r="AN1560">
            <v>1.6</v>
          </cell>
          <cell r="AQ1560" t="str">
            <v/>
          </cell>
          <cell r="AR1560" t="str">
            <v>オキシディションディッチ法</v>
          </cell>
          <cell r="AS1560" t="str">
            <v>2920102004</v>
          </cell>
          <cell r="AT1560" t="str">
            <v/>
          </cell>
          <cell r="AU1560" t="str">
            <v>10</v>
          </cell>
          <cell r="AV1560" t="str">
            <v>10</v>
          </cell>
          <cell r="AW1560">
            <v>0</v>
          </cell>
          <cell r="AX1560">
            <v>0</v>
          </cell>
          <cell r="AY1560">
            <v>0</v>
          </cell>
          <cell r="AZ1560">
            <v>0</v>
          </cell>
          <cell r="BA1560">
            <v>0</v>
          </cell>
          <cell r="BD1560" t="str">
            <v/>
          </cell>
          <cell r="BE1560">
            <v>1</v>
          </cell>
          <cell r="BG1560" t="str">
            <v>1100</v>
          </cell>
        </row>
        <row r="1561">
          <cell r="B1561" t="str">
            <v>G292090106100100</v>
          </cell>
          <cell r="C1561" t="str">
            <v>29.奈良県</v>
          </cell>
          <cell r="D1561" t="str">
            <v>209</v>
          </cell>
          <cell r="E1561" t="str">
            <v>生駒市</v>
          </cell>
          <cell r="F1561" t="str">
            <v>01</v>
          </cell>
          <cell r="G1561" t="str">
            <v>公共 単独</v>
          </cell>
          <cell r="H1561" t="str">
            <v>公共下水道</v>
          </cell>
          <cell r="I1561" t="str">
            <v>単独</v>
          </cell>
          <cell r="J1561" t="str">
            <v>001</v>
          </cell>
          <cell r="K1561" t="str">
            <v>山田川浄化センター</v>
          </cell>
          <cell r="M1561" t="str">
            <v>1</v>
          </cell>
          <cell r="N1561" t="str">
            <v>1</v>
          </cell>
          <cell r="Q1561">
            <v>31138</v>
          </cell>
          <cell r="R1561" t="str">
            <v>昭和</v>
          </cell>
          <cell r="S1561">
            <v>60</v>
          </cell>
          <cell r="T1561">
            <v>4</v>
          </cell>
          <cell r="AB1561">
            <v>7947</v>
          </cell>
          <cell r="AC1561" t="str">
            <v>設定なし</v>
          </cell>
          <cell r="AK1561" t="str">
            <v>山田川</v>
          </cell>
          <cell r="AQ1561" t="str">
            <v/>
          </cell>
          <cell r="AR1561" t="str">
            <v>標準活性汚泥法</v>
          </cell>
          <cell r="AS1561" t="str">
            <v>2920901001</v>
          </cell>
          <cell r="AT1561" t="str">
            <v/>
          </cell>
          <cell r="AU1561" t="str">
            <v>10</v>
          </cell>
          <cell r="AV1561" t="str">
            <v>10</v>
          </cell>
          <cell r="AW1561">
            <v>0</v>
          </cell>
          <cell r="AX1561">
            <v>0</v>
          </cell>
          <cell r="AY1561">
            <v>0</v>
          </cell>
          <cell r="AZ1561">
            <v>0</v>
          </cell>
          <cell r="BA1561">
            <v>0</v>
          </cell>
          <cell r="BD1561" t="str">
            <v/>
          </cell>
          <cell r="BE1561">
            <v>1</v>
          </cell>
          <cell r="BG1561" t="str">
            <v>1100</v>
          </cell>
        </row>
        <row r="1562">
          <cell r="B1562" t="str">
            <v>G292090106100200</v>
          </cell>
          <cell r="C1562" t="str">
            <v>29.奈良県</v>
          </cell>
          <cell r="D1562" t="str">
            <v>209</v>
          </cell>
          <cell r="E1562" t="str">
            <v>生駒市</v>
          </cell>
          <cell r="F1562" t="str">
            <v>01</v>
          </cell>
          <cell r="G1562" t="str">
            <v>公共 単独</v>
          </cell>
          <cell r="H1562" t="str">
            <v>公共下水道</v>
          </cell>
          <cell r="I1562" t="str">
            <v>単独</v>
          </cell>
          <cell r="J1562" t="str">
            <v>002</v>
          </cell>
          <cell r="K1562" t="str">
            <v>竜田川浄化センター</v>
          </cell>
          <cell r="M1562" t="str">
            <v>1</v>
          </cell>
          <cell r="N1562" t="str">
            <v>1</v>
          </cell>
          <cell r="Q1562">
            <v>31138</v>
          </cell>
          <cell r="R1562" t="str">
            <v>昭和</v>
          </cell>
          <cell r="S1562">
            <v>60</v>
          </cell>
          <cell r="T1562">
            <v>4</v>
          </cell>
          <cell r="AB1562">
            <v>27910</v>
          </cell>
          <cell r="AC1562" t="str">
            <v>大和川中流</v>
          </cell>
          <cell r="AD1562" t="str">
            <v>Ｃ</v>
          </cell>
          <cell r="AE1562" t="str">
            <v>ハ</v>
          </cell>
          <cell r="AF1562">
            <v>15</v>
          </cell>
          <cell r="AK1562" t="str">
            <v>竜田川</v>
          </cell>
          <cell r="AQ1562" t="str">
            <v/>
          </cell>
          <cell r="AR1562" t="str">
            <v>その他処理方法</v>
          </cell>
          <cell r="AS1562" t="str">
            <v>2920901002</v>
          </cell>
          <cell r="AT1562" t="str">
            <v/>
          </cell>
          <cell r="AU1562" t="str">
            <v>10</v>
          </cell>
          <cell r="AV1562" t="str">
            <v>10</v>
          </cell>
          <cell r="AW1562">
            <v>0</v>
          </cell>
          <cell r="AX1562">
            <v>0</v>
          </cell>
          <cell r="AY1562">
            <v>0</v>
          </cell>
          <cell r="AZ1562">
            <v>0</v>
          </cell>
          <cell r="BA1562">
            <v>0</v>
          </cell>
          <cell r="BD1562" t="str">
            <v/>
          </cell>
          <cell r="BE1562">
            <v>1</v>
          </cell>
          <cell r="BG1562" t="str">
            <v>1100</v>
          </cell>
        </row>
        <row r="1563">
          <cell r="B1563" t="str">
            <v>G293220206100100</v>
          </cell>
          <cell r="C1563" t="str">
            <v>29.奈良県</v>
          </cell>
          <cell r="D1563" t="str">
            <v>322</v>
          </cell>
          <cell r="E1563" t="str">
            <v>山添村</v>
          </cell>
          <cell r="F1563" t="str">
            <v>02</v>
          </cell>
          <cell r="G1563" t="str">
            <v>特環 単独</v>
          </cell>
          <cell r="H1563" t="str">
            <v>特定環境保全公共下水道</v>
          </cell>
          <cell r="I1563" t="str">
            <v>単独</v>
          </cell>
          <cell r="J1563" t="str">
            <v>001</v>
          </cell>
          <cell r="K1563" t="str">
            <v>上津処理場</v>
          </cell>
          <cell r="M1563" t="str">
            <v>1</v>
          </cell>
          <cell r="N1563" t="str">
            <v>1</v>
          </cell>
          <cell r="Q1563">
            <v>34608</v>
          </cell>
          <cell r="R1563" t="str">
            <v>平成</v>
          </cell>
          <cell r="S1563">
            <v>6</v>
          </cell>
          <cell r="T1563">
            <v>10</v>
          </cell>
          <cell r="AB1563">
            <v>1475</v>
          </cell>
          <cell r="AC1563" t="str">
            <v>淀川水域</v>
          </cell>
          <cell r="AI1563" t="str">
            <v>遅瀬川</v>
          </cell>
          <cell r="AL1563" t="str">
            <v>遅瀬簡易水道取水口</v>
          </cell>
          <cell r="AN1563">
            <v>2</v>
          </cell>
          <cell r="AQ1563" t="str">
            <v/>
          </cell>
          <cell r="AR1563" t="str">
            <v>オキシディションディッチ法</v>
          </cell>
          <cell r="AS1563" t="str">
            <v>2932202001</v>
          </cell>
          <cell r="AT1563" t="str">
            <v/>
          </cell>
          <cell r="AU1563" t="str">
            <v>10</v>
          </cell>
          <cell r="AV1563" t="str">
            <v>10</v>
          </cell>
          <cell r="AW1563">
            <v>0</v>
          </cell>
          <cell r="AX1563">
            <v>0</v>
          </cell>
          <cell r="AY1563">
            <v>0</v>
          </cell>
          <cell r="AZ1563">
            <v>0</v>
          </cell>
          <cell r="BA1563">
            <v>0</v>
          </cell>
          <cell r="BD1563" t="str">
            <v/>
          </cell>
          <cell r="BE1563">
            <v>1</v>
          </cell>
          <cell r="BG1563" t="str">
            <v>1100</v>
          </cell>
        </row>
        <row r="1564">
          <cell r="B1564" t="str">
            <v>G294460206100100</v>
          </cell>
          <cell r="C1564" t="str">
            <v>29.奈良県</v>
          </cell>
          <cell r="D1564" t="str">
            <v>446</v>
          </cell>
          <cell r="E1564" t="str">
            <v>天川村</v>
          </cell>
          <cell r="F1564" t="str">
            <v>02</v>
          </cell>
          <cell r="G1564" t="str">
            <v>特環 単独</v>
          </cell>
          <cell r="H1564" t="str">
            <v>特定環境保全公共下水道</v>
          </cell>
          <cell r="I1564" t="str">
            <v>単独</v>
          </cell>
          <cell r="J1564" t="str">
            <v>001</v>
          </cell>
          <cell r="K1564" t="str">
            <v>洞川浄水センター</v>
          </cell>
          <cell r="M1564" t="str">
            <v>1</v>
          </cell>
          <cell r="N1564" t="str">
            <v>1</v>
          </cell>
          <cell r="Q1564">
            <v>36312</v>
          </cell>
          <cell r="R1564" t="str">
            <v>平成</v>
          </cell>
          <cell r="S1564">
            <v>11</v>
          </cell>
          <cell r="T1564">
            <v>6</v>
          </cell>
          <cell r="AB1564">
            <v>2665.52</v>
          </cell>
          <cell r="AC1564" t="str">
            <v>新宮川水系</v>
          </cell>
          <cell r="AD1564" t="str">
            <v>ＡＡ</v>
          </cell>
          <cell r="AE1564" t="str">
            <v>ロ</v>
          </cell>
          <cell r="AF1564">
            <v>15</v>
          </cell>
          <cell r="AI1564" t="str">
            <v>新宮川水系</v>
          </cell>
          <cell r="AK1564" t="str">
            <v>洞川</v>
          </cell>
          <cell r="AQ1564" t="str">
            <v/>
          </cell>
          <cell r="AR1564" t="str">
            <v>オキシディションディッチ法</v>
          </cell>
          <cell r="AS1564" t="str">
            <v>2944602001</v>
          </cell>
          <cell r="AT1564" t="str">
            <v/>
          </cell>
          <cell r="AU1564" t="str">
            <v>10</v>
          </cell>
          <cell r="AV1564" t="str">
            <v>10</v>
          </cell>
          <cell r="AW1564">
            <v>0</v>
          </cell>
          <cell r="AX1564">
            <v>0</v>
          </cell>
          <cell r="AY1564">
            <v>0</v>
          </cell>
          <cell r="AZ1564">
            <v>0</v>
          </cell>
          <cell r="BA1564">
            <v>0</v>
          </cell>
          <cell r="BD1564" t="str">
            <v/>
          </cell>
          <cell r="BE1564">
            <v>1</v>
          </cell>
          <cell r="BG1564" t="str">
            <v>1100</v>
          </cell>
        </row>
        <row r="1565">
          <cell r="B1565" t="str">
            <v>G300018106100100</v>
          </cell>
          <cell r="C1565" t="str">
            <v>30.和歌山県</v>
          </cell>
          <cell r="D1565" t="str">
            <v>001</v>
          </cell>
          <cell r="E1565" t="str">
            <v>紀の川流域</v>
          </cell>
          <cell r="F1565" t="str">
            <v>81</v>
          </cell>
          <cell r="G1565" t="str">
            <v>流域</v>
          </cell>
          <cell r="H1565" t="str">
            <v>流域下水道</v>
          </cell>
          <cell r="I1565" t="str">
            <v/>
          </cell>
          <cell r="J1565" t="str">
            <v>001</v>
          </cell>
          <cell r="K1565" t="str">
            <v>伊都浄化センター</v>
          </cell>
          <cell r="M1565" t="str">
            <v>1</v>
          </cell>
          <cell r="N1565" t="str">
            <v>1</v>
          </cell>
          <cell r="Q1565">
            <v>36982</v>
          </cell>
          <cell r="R1565" t="str">
            <v>平成</v>
          </cell>
          <cell r="S1565">
            <v>13</v>
          </cell>
          <cell r="T1565">
            <v>4</v>
          </cell>
          <cell r="AB1565">
            <v>189600</v>
          </cell>
          <cell r="AC1565" t="str">
            <v>紀の川</v>
          </cell>
          <cell r="AD1565" t="str">
            <v>Ａ</v>
          </cell>
          <cell r="AE1565" t="str">
            <v>イ</v>
          </cell>
          <cell r="AF1565">
            <v>9</v>
          </cell>
          <cell r="AG1565">
            <v>10</v>
          </cell>
          <cell r="AH1565">
            <v>1</v>
          </cell>
          <cell r="AI1565" t="str">
            <v>窪谷川</v>
          </cell>
          <cell r="AK1565" t="str">
            <v>紀の川</v>
          </cell>
          <cell r="AL1565" t="str">
            <v>かつらぎ町水道事務所</v>
          </cell>
          <cell r="AM1565">
            <v>2.5</v>
          </cell>
          <cell r="AO1565" t="str">
            <v>かつらぎ町</v>
          </cell>
          <cell r="AQ1565" t="str">
            <v/>
          </cell>
          <cell r="AR1565" t="str">
            <v>ステップ流入式多段硝化脱窒法</v>
          </cell>
          <cell r="AS1565" t="str">
            <v>3000181001</v>
          </cell>
          <cell r="AT1565" t="str">
            <v/>
          </cell>
          <cell r="AU1565" t="str">
            <v>10</v>
          </cell>
          <cell r="AV1565" t="str">
            <v>10</v>
          </cell>
          <cell r="AW1565">
            <v>0</v>
          </cell>
          <cell r="AX1565">
            <v>0</v>
          </cell>
          <cell r="AY1565">
            <v>0</v>
          </cell>
          <cell r="AZ1565">
            <v>0</v>
          </cell>
          <cell r="BA1565">
            <v>0</v>
          </cell>
          <cell r="BD1565" t="str">
            <v/>
          </cell>
          <cell r="BE1565">
            <v>1</v>
          </cell>
          <cell r="BG1565" t="str">
            <v>1100</v>
          </cell>
        </row>
        <row r="1566">
          <cell r="B1566" t="str">
            <v>G300028106100100</v>
          </cell>
          <cell r="C1566" t="str">
            <v>30.和歌山県</v>
          </cell>
          <cell r="D1566" t="str">
            <v>002</v>
          </cell>
          <cell r="E1566" t="str">
            <v>紀の川中流流域</v>
          </cell>
          <cell r="F1566" t="str">
            <v>81</v>
          </cell>
          <cell r="G1566" t="str">
            <v>流域</v>
          </cell>
          <cell r="H1566" t="str">
            <v>流域下水道</v>
          </cell>
          <cell r="I1566" t="str">
            <v/>
          </cell>
          <cell r="J1566" t="str">
            <v>001</v>
          </cell>
          <cell r="K1566" t="str">
            <v>那賀浄化センター</v>
          </cell>
          <cell r="M1566" t="str">
            <v>1</v>
          </cell>
          <cell r="N1566" t="str">
            <v>1</v>
          </cell>
          <cell r="P1566" t="str">
            <v>1</v>
          </cell>
          <cell r="Q1566">
            <v>39783</v>
          </cell>
          <cell r="R1566" t="str">
            <v>平成</v>
          </cell>
          <cell r="S1566">
            <v>20</v>
          </cell>
          <cell r="T1566">
            <v>12</v>
          </cell>
          <cell r="AB1566">
            <v>98500</v>
          </cell>
          <cell r="AC1566" t="str">
            <v>紀の川</v>
          </cell>
          <cell r="AD1566" t="str">
            <v>Ａ</v>
          </cell>
          <cell r="AE1566" t="str">
            <v>イ</v>
          </cell>
          <cell r="AF1566">
            <v>9</v>
          </cell>
          <cell r="AG1566">
            <v>10</v>
          </cell>
          <cell r="AH1566">
            <v>1</v>
          </cell>
          <cell r="AI1566" t="str">
            <v>住吉川</v>
          </cell>
          <cell r="AK1566" t="str">
            <v>紀の川</v>
          </cell>
          <cell r="AL1566" t="str">
            <v>第２取水口(和歌山市)</v>
          </cell>
          <cell r="AN1566">
            <v>5.6</v>
          </cell>
          <cell r="AO1566" t="str">
            <v>和歌山市</v>
          </cell>
          <cell r="AQ1566" t="str">
            <v/>
          </cell>
          <cell r="AR1566" t="str">
            <v>ステップ流入式多段硝化脱窒法</v>
          </cell>
          <cell r="AS1566" t="str">
            <v>3000281001</v>
          </cell>
          <cell r="AT1566" t="str">
            <v/>
          </cell>
          <cell r="AU1566" t="str">
            <v>10</v>
          </cell>
          <cell r="AV1566" t="str">
            <v>10</v>
          </cell>
          <cell r="AW1566">
            <v>1</v>
          </cell>
          <cell r="AX1566">
            <v>0</v>
          </cell>
          <cell r="AY1566">
            <v>0</v>
          </cell>
          <cell r="AZ1566">
            <v>0</v>
          </cell>
          <cell r="BA1566">
            <v>0</v>
          </cell>
          <cell r="BD1566" t="str">
            <v/>
          </cell>
          <cell r="BE1566">
            <v>1</v>
          </cell>
          <cell r="BG1566" t="str">
            <v>1101</v>
          </cell>
        </row>
        <row r="1567">
          <cell r="B1567" t="str">
            <v>G302010106100100</v>
          </cell>
          <cell r="C1567" t="str">
            <v>30.和歌山県</v>
          </cell>
          <cell r="D1567" t="str">
            <v>201</v>
          </cell>
          <cell r="E1567" t="str">
            <v>和歌山市</v>
          </cell>
          <cell r="F1567" t="str">
            <v>01</v>
          </cell>
          <cell r="G1567" t="str">
            <v>公共 単独</v>
          </cell>
          <cell r="H1567" t="str">
            <v>公共下水道</v>
          </cell>
          <cell r="I1567" t="str">
            <v>単独</v>
          </cell>
          <cell r="J1567" t="str">
            <v>001</v>
          </cell>
          <cell r="K1567" t="str">
            <v>和歌川終末処理場</v>
          </cell>
          <cell r="M1567" t="str">
            <v>1</v>
          </cell>
          <cell r="N1567" t="str">
            <v>1</v>
          </cell>
          <cell r="Q1567">
            <v>30987</v>
          </cell>
          <cell r="R1567" t="str">
            <v>昭和</v>
          </cell>
          <cell r="S1567">
            <v>59</v>
          </cell>
          <cell r="T1567">
            <v>11</v>
          </cell>
          <cell r="AB1567">
            <v>55100</v>
          </cell>
          <cell r="AC1567" t="str">
            <v>和歌川</v>
          </cell>
          <cell r="AD1567" t="str">
            <v>Ｂ</v>
          </cell>
          <cell r="AE1567" t="str">
            <v>イ</v>
          </cell>
          <cell r="AF1567">
            <v>15</v>
          </cell>
          <cell r="AK1567" t="str">
            <v>和歌川</v>
          </cell>
          <cell r="AQ1567" t="str">
            <v/>
          </cell>
          <cell r="AR1567" t="str">
            <v>標準活性汚泥法</v>
          </cell>
          <cell r="AS1567" t="str">
            <v>3020101001</v>
          </cell>
          <cell r="AT1567" t="str">
            <v/>
          </cell>
          <cell r="AU1567" t="str">
            <v>10</v>
          </cell>
          <cell r="AV1567" t="str">
            <v>10</v>
          </cell>
          <cell r="AW1567">
            <v>0</v>
          </cell>
          <cell r="AX1567">
            <v>0</v>
          </cell>
          <cell r="AY1567">
            <v>0</v>
          </cell>
          <cell r="AZ1567">
            <v>0</v>
          </cell>
          <cell r="BA1567">
            <v>0</v>
          </cell>
          <cell r="BD1567" t="str">
            <v/>
          </cell>
          <cell r="BE1567">
            <v>1</v>
          </cell>
          <cell r="BG1567" t="str">
            <v>1100</v>
          </cell>
        </row>
        <row r="1568">
          <cell r="B1568" t="str">
            <v>G302010106100200</v>
          </cell>
          <cell r="C1568" t="str">
            <v>30.和歌山県</v>
          </cell>
          <cell r="D1568" t="str">
            <v>201</v>
          </cell>
          <cell r="E1568" t="str">
            <v>和歌山市</v>
          </cell>
          <cell r="F1568" t="str">
            <v>01</v>
          </cell>
          <cell r="G1568" t="str">
            <v>公共 単独</v>
          </cell>
          <cell r="H1568" t="str">
            <v>公共下水道</v>
          </cell>
          <cell r="I1568" t="str">
            <v>単独</v>
          </cell>
          <cell r="J1568" t="str">
            <v>002</v>
          </cell>
          <cell r="K1568" t="str">
            <v>中央終末処理場</v>
          </cell>
          <cell r="M1568" t="str">
            <v>1</v>
          </cell>
          <cell r="N1568" t="str">
            <v>1</v>
          </cell>
          <cell r="Q1568">
            <v>32082</v>
          </cell>
          <cell r="R1568" t="str">
            <v>昭和</v>
          </cell>
          <cell r="S1568">
            <v>62</v>
          </cell>
          <cell r="T1568">
            <v>11</v>
          </cell>
          <cell r="AB1568">
            <v>77200</v>
          </cell>
          <cell r="AC1568" t="str">
            <v>和田川</v>
          </cell>
          <cell r="AD1568" t="str">
            <v>Ｂ</v>
          </cell>
          <cell r="AE1568" t="str">
            <v>イ</v>
          </cell>
          <cell r="AF1568">
            <v>15</v>
          </cell>
          <cell r="AK1568" t="str">
            <v>和田川</v>
          </cell>
          <cell r="AQ1568" t="str">
            <v/>
          </cell>
          <cell r="AR1568" t="str">
            <v>標準活性汚泥法</v>
          </cell>
          <cell r="AS1568" t="str">
            <v>3020101002</v>
          </cell>
          <cell r="AT1568" t="str">
            <v/>
          </cell>
          <cell r="AU1568" t="str">
            <v>10</v>
          </cell>
          <cell r="AV1568" t="str">
            <v>10</v>
          </cell>
          <cell r="AW1568">
            <v>0</v>
          </cell>
          <cell r="AX1568">
            <v>0</v>
          </cell>
          <cell r="AY1568">
            <v>0</v>
          </cell>
          <cell r="AZ1568">
            <v>0</v>
          </cell>
          <cell r="BA1568">
            <v>0</v>
          </cell>
          <cell r="BD1568" t="str">
            <v/>
          </cell>
          <cell r="BE1568">
            <v>1</v>
          </cell>
          <cell r="BG1568" t="str">
            <v>1100</v>
          </cell>
        </row>
        <row r="1569">
          <cell r="B1569" t="str">
            <v>G302010106100300</v>
          </cell>
          <cell r="C1569" t="str">
            <v>30.和歌山県</v>
          </cell>
          <cell r="D1569" t="str">
            <v>201</v>
          </cell>
          <cell r="E1569" t="str">
            <v>和歌山市</v>
          </cell>
          <cell r="F1569" t="str">
            <v>01</v>
          </cell>
          <cell r="G1569" t="str">
            <v>公共 単独</v>
          </cell>
          <cell r="H1569" t="str">
            <v>公共下水道</v>
          </cell>
          <cell r="I1569" t="str">
            <v>単独</v>
          </cell>
          <cell r="J1569" t="str">
            <v>003</v>
          </cell>
          <cell r="K1569" t="str">
            <v>北部終末処理場</v>
          </cell>
          <cell r="M1569" t="str">
            <v>1</v>
          </cell>
          <cell r="N1569" t="str">
            <v>1</v>
          </cell>
          <cell r="Q1569">
            <v>36982</v>
          </cell>
          <cell r="R1569" t="str">
            <v>平成</v>
          </cell>
          <cell r="S1569">
            <v>13</v>
          </cell>
          <cell r="T1569">
            <v>4</v>
          </cell>
          <cell r="AB1569">
            <v>66000</v>
          </cell>
          <cell r="AC1569" t="str">
            <v>和歌山海域</v>
          </cell>
          <cell r="AD1569" t="str">
            <v>Ｂ</v>
          </cell>
          <cell r="AE1569" t="str">
            <v>イ</v>
          </cell>
          <cell r="AF1569">
            <v>15</v>
          </cell>
          <cell r="AI1569" t="str">
            <v>和歌山海域</v>
          </cell>
          <cell r="AQ1569" t="str">
            <v/>
          </cell>
          <cell r="AR1569" t="str">
            <v>標準活性汚泥法</v>
          </cell>
          <cell r="AS1569" t="str">
            <v>3020101003</v>
          </cell>
          <cell r="AT1569" t="str">
            <v/>
          </cell>
          <cell r="AU1569" t="str">
            <v>10</v>
          </cell>
          <cell r="AV1569" t="str">
            <v>10</v>
          </cell>
          <cell r="AW1569">
            <v>0</v>
          </cell>
          <cell r="AX1569">
            <v>0</v>
          </cell>
          <cell r="AY1569">
            <v>0</v>
          </cell>
          <cell r="AZ1569">
            <v>0</v>
          </cell>
          <cell r="BA1569">
            <v>0</v>
          </cell>
          <cell r="BD1569" t="str">
            <v/>
          </cell>
          <cell r="BE1569">
            <v>1</v>
          </cell>
          <cell r="BG1569" t="str">
            <v>1100</v>
          </cell>
        </row>
        <row r="1570">
          <cell r="B1570" t="str">
            <v>G302050206100100</v>
          </cell>
          <cell r="C1570" t="str">
            <v>30.和歌山県</v>
          </cell>
          <cell r="D1570" t="str">
            <v>205</v>
          </cell>
          <cell r="E1570" t="str">
            <v>御坊市</v>
          </cell>
          <cell r="F1570" t="str">
            <v>02</v>
          </cell>
          <cell r="G1570" t="str">
            <v>特環 単独</v>
          </cell>
          <cell r="H1570" t="str">
            <v>特定環境保全公共下水道</v>
          </cell>
          <cell r="I1570" t="str">
            <v>単独</v>
          </cell>
          <cell r="J1570" t="str">
            <v>001</v>
          </cell>
          <cell r="K1570" t="str">
            <v>塩屋浄化センター</v>
          </cell>
          <cell r="M1570" t="str">
            <v>1</v>
          </cell>
          <cell r="Q1570">
            <v>40634</v>
          </cell>
          <cell r="R1570" t="str">
            <v>平成</v>
          </cell>
          <cell r="S1570">
            <v>23</v>
          </cell>
          <cell r="T1570">
            <v>4</v>
          </cell>
          <cell r="AB1570">
            <v>12600</v>
          </cell>
          <cell r="AF1570">
            <v>15</v>
          </cell>
          <cell r="AJ1570" t="str">
            <v>王子川</v>
          </cell>
          <cell r="AQ1570" t="str">
            <v/>
          </cell>
          <cell r="AR1570" t="str">
            <v>オキシディションディッチ法</v>
          </cell>
          <cell r="AS1570" t="str">
            <v>3020502001</v>
          </cell>
          <cell r="AT1570" t="str">
            <v/>
          </cell>
          <cell r="AU1570" t="str">
            <v>00</v>
          </cell>
          <cell r="AV1570" t="str">
            <v>00</v>
          </cell>
          <cell r="AW1570">
            <v>0</v>
          </cell>
          <cell r="AX1570">
            <v>0</v>
          </cell>
          <cell r="AY1570">
            <v>0</v>
          </cell>
          <cell r="AZ1570">
            <v>0</v>
          </cell>
          <cell r="BA1570">
            <v>0</v>
          </cell>
          <cell r="BD1570" t="str">
            <v/>
          </cell>
          <cell r="BE1570">
            <v>1</v>
          </cell>
          <cell r="BG1570" t="str">
            <v>1000</v>
          </cell>
        </row>
        <row r="1571">
          <cell r="B1571" t="str">
            <v>G302060206100100</v>
          </cell>
          <cell r="C1571" t="str">
            <v>30.和歌山県</v>
          </cell>
          <cell r="D1571" t="str">
            <v>206</v>
          </cell>
          <cell r="E1571" t="str">
            <v>田辺市</v>
          </cell>
          <cell r="F1571" t="str">
            <v>02</v>
          </cell>
          <cell r="G1571" t="str">
            <v>特環 単独</v>
          </cell>
          <cell r="H1571" t="str">
            <v>特定環境保全公共下水道</v>
          </cell>
          <cell r="I1571" t="str">
            <v>単独</v>
          </cell>
          <cell r="J1571" t="str">
            <v>001</v>
          </cell>
          <cell r="K1571" t="str">
            <v>川湯クリーンセンター</v>
          </cell>
          <cell r="M1571" t="str">
            <v>1</v>
          </cell>
          <cell r="N1571" t="str">
            <v>1</v>
          </cell>
          <cell r="Q1571">
            <v>35313</v>
          </cell>
          <cell r="R1571" t="str">
            <v>平成</v>
          </cell>
          <cell r="S1571">
            <v>8</v>
          </cell>
          <cell r="T1571">
            <v>9</v>
          </cell>
          <cell r="U1571" t="str">
            <v>名称変更</v>
          </cell>
          <cell r="V1571">
            <v>38473</v>
          </cell>
          <cell r="W1571" t="str">
            <v>平成</v>
          </cell>
          <cell r="X1571">
            <v>17</v>
          </cell>
          <cell r="Y1571">
            <v>5</v>
          </cell>
          <cell r="Z1571" t="str">
            <v>本宮町</v>
          </cell>
          <cell r="AA1571" t="str">
            <v>本宮町特定環境保全公共下水道</v>
          </cell>
          <cell r="AB1571">
            <v>1600</v>
          </cell>
          <cell r="AC1571" t="str">
            <v>設定なし</v>
          </cell>
          <cell r="AK1571" t="str">
            <v>大塔川</v>
          </cell>
          <cell r="AL1571" t="str">
            <v>川湯簡易水道</v>
          </cell>
          <cell r="AN1571">
            <v>0.8</v>
          </cell>
          <cell r="AO1571" t="str">
            <v>田辺市</v>
          </cell>
          <cell r="AQ1571" t="str">
            <v/>
          </cell>
          <cell r="AR1571" t="str">
            <v>嫌気好気活性汚泥法</v>
          </cell>
          <cell r="AS1571" t="str">
            <v>3020602001</v>
          </cell>
          <cell r="AT1571" t="str">
            <v/>
          </cell>
          <cell r="AU1571" t="str">
            <v>10</v>
          </cell>
          <cell r="AV1571" t="str">
            <v>10</v>
          </cell>
          <cell r="AW1571">
            <v>0</v>
          </cell>
          <cell r="AX1571">
            <v>0</v>
          </cell>
          <cell r="AY1571">
            <v>0</v>
          </cell>
          <cell r="AZ1571">
            <v>0</v>
          </cell>
          <cell r="BA1571">
            <v>0</v>
          </cell>
          <cell r="BD1571" t="str">
            <v/>
          </cell>
          <cell r="BE1571">
            <v>1</v>
          </cell>
          <cell r="BG1571" t="str">
            <v>1100</v>
          </cell>
        </row>
        <row r="1572">
          <cell r="B1572" t="str">
            <v>G302060206100200</v>
          </cell>
          <cell r="C1572" t="str">
            <v>30.和歌山県</v>
          </cell>
          <cell r="D1572" t="str">
            <v>206</v>
          </cell>
          <cell r="E1572" t="str">
            <v>田辺市</v>
          </cell>
          <cell r="F1572" t="str">
            <v>02</v>
          </cell>
          <cell r="G1572" t="str">
            <v>特環 単独</v>
          </cell>
          <cell r="H1572" t="str">
            <v>特定環境保全公共下水道</v>
          </cell>
          <cell r="I1572" t="str">
            <v>単独</v>
          </cell>
          <cell r="J1572" t="str">
            <v>002</v>
          </cell>
          <cell r="K1572" t="str">
            <v>龍神温泉浄化センター</v>
          </cell>
          <cell r="M1572" t="str">
            <v>1</v>
          </cell>
          <cell r="N1572" t="str">
            <v>1</v>
          </cell>
          <cell r="Q1572">
            <v>37347</v>
          </cell>
          <cell r="R1572" t="str">
            <v>平成</v>
          </cell>
          <cell r="S1572">
            <v>14</v>
          </cell>
          <cell r="T1572">
            <v>4</v>
          </cell>
          <cell r="U1572" t="str">
            <v>名称変更</v>
          </cell>
          <cell r="V1572">
            <v>38473</v>
          </cell>
          <cell r="W1572" t="str">
            <v>平成</v>
          </cell>
          <cell r="X1572">
            <v>17</v>
          </cell>
          <cell r="Y1572">
            <v>5</v>
          </cell>
          <cell r="Z1572" t="str">
            <v>龍神村</v>
          </cell>
          <cell r="AA1572" t="str">
            <v>龍神村特定環境保全公共下水道</v>
          </cell>
          <cell r="AB1572">
            <v>4343</v>
          </cell>
          <cell r="AC1572" t="str">
            <v>日高川</v>
          </cell>
          <cell r="AD1572" t="str">
            <v>Ａ</v>
          </cell>
          <cell r="AE1572" t="str">
            <v>イ</v>
          </cell>
          <cell r="AI1572" t="str">
            <v>小又川</v>
          </cell>
          <cell r="AJ1572" t="str">
            <v>日高川</v>
          </cell>
          <cell r="AN1572">
            <v>1.1000000000000001</v>
          </cell>
          <cell r="AO1572" t="str">
            <v>田辺市</v>
          </cell>
          <cell r="AQ1572" t="str">
            <v/>
          </cell>
          <cell r="AR1572" t="str">
            <v>オキシディションディッチ法</v>
          </cell>
          <cell r="AS1572" t="str">
            <v>3020602002</v>
          </cell>
          <cell r="AT1572" t="str">
            <v/>
          </cell>
          <cell r="AU1572" t="str">
            <v>10</v>
          </cell>
          <cell r="AV1572" t="str">
            <v>10</v>
          </cell>
          <cell r="AW1572">
            <v>0</v>
          </cell>
          <cell r="AX1572">
            <v>0</v>
          </cell>
          <cell r="AY1572">
            <v>0</v>
          </cell>
          <cell r="AZ1572">
            <v>0</v>
          </cell>
          <cell r="BA1572">
            <v>0</v>
          </cell>
          <cell r="BD1572" t="str">
            <v/>
          </cell>
          <cell r="BE1572">
            <v>1</v>
          </cell>
          <cell r="BG1572" t="str">
            <v>1100</v>
          </cell>
        </row>
        <row r="1573">
          <cell r="B1573" t="str">
            <v>G302080206100100</v>
          </cell>
          <cell r="C1573" t="str">
            <v>30.和歌山県</v>
          </cell>
          <cell r="D1573" t="str">
            <v>208</v>
          </cell>
          <cell r="E1573" t="str">
            <v>紀の川市</v>
          </cell>
          <cell r="F1573" t="str">
            <v>02</v>
          </cell>
          <cell r="G1573" t="str">
            <v>特環 単独</v>
          </cell>
          <cell r="H1573" t="str">
            <v>特定環境保全公共下水道</v>
          </cell>
          <cell r="I1573" t="str">
            <v>単独</v>
          </cell>
          <cell r="J1573" t="str">
            <v>001</v>
          </cell>
          <cell r="K1573" t="str">
            <v>紀の川市特定環境保全公共下水道処理場</v>
          </cell>
          <cell r="M1573" t="str">
            <v>1</v>
          </cell>
          <cell r="N1573" t="str">
            <v>1</v>
          </cell>
          <cell r="P1573" t="str">
            <v>1</v>
          </cell>
          <cell r="Q1573">
            <v>32933</v>
          </cell>
          <cell r="R1573" t="str">
            <v>平成</v>
          </cell>
          <cell r="S1573">
            <v>2</v>
          </cell>
          <cell r="T1573">
            <v>3</v>
          </cell>
          <cell r="AB1573">
            <v>2937</v>
          </cell>
          <cell r="AC1573" t="str">
            <v>貴志川</v>
          </cell>
          <cell r="AD1573" t="str">
            <v>Ａ</v>
          </cell>
          <cell r="AE1573" t="str">
            <v>イ</v>
          </cell>
          <cell r="AF1573">
            <v>5</v>
          </cell>
          <cell r="AI1573" t="str">
            <v>町通川</v>
          </cell>
          <cell r="AK1573" t="str">
            <v>貴志川</v>
          </cell>
          <cell r="AQ1573" t="str">
            <v/>
          </cell>
          <cell r="AR1573" t="str">
            <v>標準活性汚泥法</v>
          </cell>
          <cell r="AS1573" t="str">
            <v>3020802001</v>
          </cell>
          <cell r="AT1573" t="str">
            <v/>
          </cell>
          <cell r="AU1573" t="str">
            <v>10</v>
          </cell>
          <cell r="AV1573" t="str">
            <v>10</v>
          </cell>
          <cell r="AW1573">
            <v>1</v>
          </cell>
          <cell r="AX1573">
            <v>0</v>
          </cell>
          <cell r="AY1573">
            <v>0</v>
          </cell>
          <cell r="AZ1573">
            <v>0</v>
          </cell>
          <cell r="BA1573">
            <v>0</v>
          </cell>
          <cell r="BD1573" t="str">
            <v/>
          </cell>
          <cell r="BE1573">
            <v>1</v>
          </cell>
          <cell r="BG1573" t="str">
            <v>1101</v>
          </cell>
        </row>
        <row r="1574">
          <cell r="B1574" t="str">
            <v>G303440106100100</v>
          </cell>
          <cell r="C1574" t="str">
            <v>30.和歌山県</v>
          </cell>
          <cell r="D1574" t="str">
            <v>344</v>
          </cell>
          <cell r="E1574" t="str">
            <v>高野町</v>
          </cell>
          <cell r="F1574" t="str">
            <v>01</v>
          </cell>
          <cell r="G1574" t="str">
            <v>公共 単独</v>
          </cell>
          <cell r="H1574" t="str">
            <v>公共下水道</v>
          </cell>
          <cell r="I1574" t="str">
            <v>単独</v>
          </cell>
          <cell r="J1574" t="str">
            <v>001</v>
          </cell>
          <cell r="K1574" t="str">
            <v>高野山下水処理場</v>
          </cell>
          <cell r="M1574" t="str">
            <v>1</v>
          </cell>
          <cell r="N1574" t="str">
            <v>1</v>
          </cell>
          <cell r="Q1574">
            <v>29677</v>
          </cell>
          <cell r="R1574" t="str">
            <v>昭和</v>
          </cell>
          <cell r="S1574">
            <v>56</v>
          </cell>
          <cell r="T1574">
            <v>4</v>
          </cell>
          <cell r="AB1574">
            <v>15569</v>
          </cell>
          <cell r="AC1574" t="str">
            <v>有田川</v>
          </cell>
          <cell r="AD1574" t="str">
            <v>Ａ</v>
          </cell>
          <cell r="AE1574" t="str">
            <v>イ</v>
          </cell>
          <cell r="AI1574" t="str">
            <v>御殿川</v>
          </cell>
          <cell r="AJ1574" t="str">
            <v>有田川</v>
          </cell>
          <cell r="AL1574" t="str">
            <v>玉川原水</v>
          </cell>
          <cell r="AM1574">
            <v>1</v>
          </cell>
          <cell r="AO1574" t="str">
            <v>高野町</v>
          </cell>
          <cell r="AQ1574" t="str">
            <v/>
          </cell>
          <cell r="AR1574" t="str">
            <v>回転生物接触法</v>
          </cell>
          <cell r="AS1574" t="str">
            <v>3034401001</v>
          </cell>
          <cell r="AT1574" t="str">
            <v/>
          </cell>
          <cell r="AU1574" t="str">
            <v>10</v>
          </cell>
          <cell r="AV1574" t="str">
            <v>10</v>
          </cell>
          <cell r="AW1574">
            <v>0</v>
          </cell>
          <cell r="AX1574">
            <v>0</v>
          </cell>
          <cell r="AY1574">
            <v>0</v>
          </cell>
          <cell r="AZ1574">
            <v>0</v>
          </cell>
          <cell r="BA1574">
            <v>0</v>
          </cell>
          <cell r="BD1574" t="str">
            <v/>
          </cell>
          <cell r="BE1574">
            <v>1</v>
          </cell>
          <cell r="BG1574" t="str">
            <v>1100</v>
          </cell>
        </row>
        <row r="1575">
          <cell r="B1575" t="str">
            <v>G303440206100200</v>
          </cell>
          <cell r="C1575" t="str">
            <v>30.和歌山県</v>
          </cell>
          <cell r="D1575" t="str">
            <v>344</v>
          </cell>
          <cell r="E1575" t="str">
            <v>高野町</v>
          </cell>
          <cell r="F1575" t="str">
            <v>02</v>
          </cell>
          <cell r="G1575" t="str">
            <v>特環 単独</v>
          </cell>
          <cell r="H1575" t="str">
            <v>特定環境保全公共下水道</v>
          </cell>
          <cell r="I1575" t="str">
            <v>単独</v>
          </cell>
          <cell r="J1575" t="str">
            <v>002</v>
          </cell>
          <cell r="K1575" t="str">
            <v>不動谷浄化センター</v>
          </cell>
          <cell r="M1575" t="str">
            <v>1</v>
          </cell>
          <cell r="N1575" t="str">
            <v>1</v>
          </cell>
          <cell r="Q1575">
            <v>35521</v>
          </cell>
          <cell r="R1575" t="str">
            <v>平成</v>
          </cell>
          <cell r="S1575">
            <v>9</v>
          </cell>
          <cell r="T1575">
            <v>4</v>
          </cell>
          <cell r="AB1575">
            <v>591</v>
          </cell>
          <cell r="AC1575" t="str">
            <v>紀の川</v>
          </cell>
          <cell r="AD1575" t="str">
            <v>Ａ</v>
          </cell>
          <cell r="AE1575" t="str">
            <v>イ</v>
          </cell>
          <cell r="AK1575" t="str">
            <v>不動谷川</v>
          </cell>
          <cell r="AQ1575" t="str">
            <v/>
          </cell>
          <cell r="AR1575" t="str">
            <v>土壌被覆型礫間接触法</v>
          </cell>
          <cell r="AS1575" t="str">
            <v>3034402002</v>
          </cell>
          <cell r="AT1575" t="str">
            <v/>
          </cell>
          <cell r="AU1575" t="str">
            <v>10</v>
          </cell>
          <cell r="AV1575" t="str">
            <v>10</v>
          </cell>
          <cell r="AW1575">
            <v>0</v>
          </cell>
          <cell r="AX1575">
            <v>0</v>
          </cell>
          <cell r="AY1575">
            <v>0</v>
          </cell>
          <cell r="AZ1575">
            <v>0</v>
          </cell>
          <cell r="BA1575">
            <v>0</v>
          </cell>
          <cell r="BD1575" t="str">
            <v/>
          </cell>
          <cell r="BE1575">
            <v>1</v>
          </cell>
          <cell r="BG1575" t="str">
            <v>1100</v>
          </cell>
        </row>
        <row r="1576">
          <cell r="B1576" t="str">
            <v>G303620206100100</v>
          </cell>
          <cell r="C1576" t="str">
            <v>30.和歌山県</v>
          </cell>
          <cell r="D1576" t="str">
            <v>362</v>
          </cell>
          <cell r="E1576" t="str">
            <v>広川町</v>
          </cell>
          <cell r="F1576" t="str">
            <v>02</v>
          </cell>
          <cell r="G1576" t="str">
            <v>特環 単独</v>
          </cell>
          <cell r="H1576" t="str">
            <v>特定環境保全公共下水道</v>
          </cell>
          <cell r="I1576" t="str">
            <v>単独</v>
          </cell>
          <cell r="J1576" t="str">
            <v>001</v>
          </cell>
          <cell r="K1576" t="str">
            <v>広港浄化センター</v>
          </cell>
          <cell r="M1576" t="str">
            <v>1</v>
          </cell>
          <cell r="N1576" t="str">
            <v>1</v>
          </cell>
          <cell r="Q1576">
            <v>35431</v>
          </cell>
          <cell r="R1576" t="str">
            <v>平成</v>
          </cell>
          <cell r="S1576">
            <v>9</v>
          </cell>
          <cell r="T1576">
            <v>1</v>
          </cell>
          <cell r="AB1576">
            <v>999</v>
          </cell>
          <cell r="AC1576" t="str">
            <v>広川町地先海域（湯浅広港）</v>
          </cell>
          <cell r="AD1576" t="str">
            <v>Ａ</v>
          </cell>
          <cell r="AE1576" t="str">
            <v>イ</v>
          </cell>
          <cell r="AI1576" t="str">
            <v>湯浅広港</v>
          </cell>
          <cell r="AQ1576" t="str">
            <v/>
          </cell>
          <cell r="AR1576" t="str">
            <v>オキシディションディッチ法</v>
          </cell>
          <cell r="AS1576" t="str">
            <v>3036202001</v>
          </cell>
          <cell r="AT1576" t="str">
            <v/>
          </cell>
          <cell r="AU1576" t="str">
            <v>10</v>
          </cell>
          <cell r="AV1576" t="str">
            <v>10</v>
          </cell>
          <cell r="AW1576">
            <v>0</v>
          </cell>
          <cell r="AX1576">
            <v>0</v>
          </cell>
          <cell r="AY1576">
            <v>0</v>
          </cell>
          <cell r="AZ1576">
            <v>0</v>
          </cell>
          <cell r="BA1576">
            <v>0</v>
          </cell>
          <cell r="BD1576" t="str">
            <v/>
          </cell>
          <cell r="BE1576">
            <v>1</v>
          </cell>
          <cell r="BG1576" t="str">
            <v>1100</v>
          </cell>
        </row>
        <row r="1577">
          <cell r="B1577" t="str">
            <v>G303660106100100</v>
          </cell>
          <cell r="C1577" t="str">
            <v>30.和歌山県</v>
          </cell>
          <cell r="D1577" t="str">
            <v>366</v>
          </cell>
          <cell r="E1577" t="str">
            <v>有田川町</v>
          </cell>
          <cell r="F1577" t="str">
            <v>01</v>
          </cell>
          <cell r="G1577" t="str">
            <v>公共 単独</v>
          </cell>
          <cell r="H1577" t="str">
            <v>公共下水道</v>
          </cell>
          <cell r="I1577" t="str">
            <v>単独</v>
          </cell>
          <cell r="J1577" t="str">
            <v>001</v>
          </cell>
          <cell r="K1577" t="str">
            <v>吉備浄化センター</v>
          </cell>
          <cell r="M1577" t="str">
            <v>1</v>
          </cell>
          <cell r="N1577" t="str">
            <v>1</v>
          </cell>
          <cell r="P1577" t="str">
            <v>1</v>
          </cell>
          <cell r="Q1577">
            <v>39904</v>
          </cell>
          <cell r="R1577" t="str">
            <v>平成</v>
          </cell>
          <cell r="S1577">
            <v>21</v>
          </cell>
          <cell r="T1577">
            <v>4</v>
          </cell>
          <cell r="AB1577">
            <v>21600</v>
          </cell>
          <cell r="AC1577" t="str">
            <v>設定なし</v>
          </cell>
          <cell r="AF1577">
            <v>15</v>
          </cell>
          <cell r="AJ1577" t="str">
            <v>鳥尾川</v>
          </cell>
          <cell r="AL1577" t="str">
            <v>８号取水口</v>
          </cell>
          <cell r="AN1577">
            <v>1.5</v>
          </cell>
          <cell r="AO1577" t="str">
            <v>有田川町</v>
          </cell>
          <cell r="AQ1577" t="str">
            <v/>
          </cell>
          <cell r="AR1577" t="str">
            <v>オキシディションディッチ法</v>
          </cell>
          <cell r="AS1577" t="str">
            <v>3036601001</v>
          </cell>
          <cell r="AT1577" t="str">
            <v/>
          </cell>
          <cell r="AU1577" t="str">
            <v>10</v>
          </cell>
          <cell r="AV1577" t="str">
            <v>10</v>
          </cell>
          <cell r="AW1577">
            <v>1</v>
          </cell>
          <cell r="AX1577">
            <v>0</v>
          </cell>
          <cell r="AY1577">
            <v>0</v>
          </cell>
          <cell r="AZ1577">
            <v>0</v>
          </cell>
          <cell r="BA1577">
            <v>0</v>
          </cell>
          <cell r="BD1577" t="str">
            <v/>
          </cell>
          <cell r="BE1577">
            <v>1</v>
          </cell>
          <cell r="BG1577" t="str">
            <v>1101</v>
          </cell>
        </row>
        <row r="1578">
          <cell r="B1578" t="str">
            <v>G303810106100100</v>
          </cell>
          <cell r="C1578" t="str">
            <v>30.和歌山県</v>
          </cell>
          <cell r="D1578" t="str">
            <v>381</v>
          </cell>
          <cell r="E1578" t="str">
            <v>美浜町</v>
          </cell>
          <cell r="F1578" t="str">
            <v>01</v>
          </cell>
          <cell r="G1578" t="str">
            <v>公共 単独</v>
          </cell>
          <cell r="H1578" t="str">
            <v>公共下水道</v>
          </cell>
          <cell r="I1578" t="str">
            <v>単独</v>
          </cell>
          <cell r="J1578" t="str">
            <v>001</v>
          </cell>
          <cell r="K1578" t="str">
            <v>松原浄化センター</v>
          </cell>
          <cell r="M1578" t="str">
            <v>1</v>
          </cell>
          <cell r="N1578" t="str">
            <v>1</v>
          </cell>
          <cell r="Q1578">
            <v>38504</v>
          </cell>
          <cell r="R1578" t="str">
            <v>平成</v>
          </cell>
          <cell r="S1578">
            <v>17</v>
          </cell>
          <cell r="T1578">
            <v>6</v>
          </cell>
          <cell r="AB1578">
            <v>6830</v>
          </cell>
          <cell r="AC1578" t="str">
            <v>日高地先海域</v>
          </cell>
          <cell r="AD1578" t="str">
            <v>Ａ</v>
          </cell>
          <cell r="AE1578" t="str">
            <v>イ</v>
          </cell>
          <cell r="AF1578">
            <v>15</v>
          </cell>
          <cell r="AI1578" t="str">
            <v>日高港</v>
          </cell>
          <cell r="AQ1578" t="str">
            <v/>
          </cell>
          <cell r="AR1578" t="str">
            <v>オキシディションディッチ法</v>
          </cell>
          <cell r="AS1578" t="str">
            <v>3038101001</v>
          </cell>
          <cell r="AT1578" t="str">
            <v/>
          </cell>
          <cell r="AU1578" t="str">
            <v>10</v>
          </cell>
          <cell r="AV1578" t="str">
            <v>10</v>
          </cell>
          <cell r="AW1578">
            <v>0</v>
          </cell>
          <cell r="AX1578">
            <v>0</v>
          </cell>
          <cell r="AY1578">
            <v>0</v>
          </cell>
          <cell r="AZ1578">
            <v>0</v>
          </cell>
          <cell r="BA1578">
            <v>0</v>
          </cell>
          <cell r="BD1578" t="str">
            <v/>
          </cell>
          <cell r="BE1578">
            <v>1</v>
          </cell>
          <cell r="BG1578" t="str">
            <v>1100</v>
          </cell>
        </row>
        <row r="1579">
          <cell r="B1579" t="str">
            <v>G303830106100100</v>
          </cell>
          <cell r="C1579" t="str">
            <v>30.和歌山県</v>
          </cell>
          <cell r="D1579" t="str">
            <v>383</v>
          </cell>
          <cell r="E1579" t="str">
            <v>由良町</v>
          </cell>
          <cell r="F1579" t="str">
            <v>01</v>
          </cell>
          <cell r="G1579" t="str">
            <v>公共 単独</v>
          </cell>
          <cell r="H1579" t="str">
            <v>公共下水道</v>
          </cell>
          <cell r="I1579" t="str">
            <v>単独</v>
          </cell>
          <cell r="J1579" t="str">
            <v>001</v>
          </cell>
          <cell r="K1579" t="str">
            <v>由良クリーンセンター</v>
          </cell>
          <cell r="M1579" t="str">
            <v>1</v>
          </cell>
          <cell r="N1579" t="str">
            <v>1</v>
          </cell>
          <cell r="Q1579">
            <v>39508</v>
          </cell>
          <cell r="R1579" t="str">
            <v>平成</v>
          </cell>
          <cell r="S1579">
            <v>20</v>
          </cell>
          <cell r="T1579">
            <v>3</v>
          </cell>
          <cell r="AB1579">
            <v>9390</v>
          </cell>
          <cell r="AC1579" t="str">
            <v>瀬戸内海</v>
          </cell>
          <cell r="AD1579" t="str">
            <v>Ａ</v>
          </cell>
          <cell r="AE1579" t="str">
            <v>イ</v>
          </cell>
          <cell r="AF1579">
            <v>15</v>
          </cell>
          <cell r="AI1579" t="str">
            <v>由良湾</v>
          </cell>
          <cell r="AQ1579" t="str">
            <v/>
          </cell>
          <cell r="AR1579" t="str">
            <v>長時間エアレーション法</v>
          </cell>
          <cell r="AS1579" t="str">
            <v>3038301001</v>
          </cell>
          <cell r="AT1579" t="str">
            <v/>
          </cell>
          <cell r="AU1579" t="str">
            <v>10</v>
          </cell>
          <cell r="AV1579" t="str">
            <v>10</v>
          </cell>
          <cell r="AW1579">
            <v>0</v>
          </cell>
          <cell r="AX1579">
            <v>0</v>
          </cell>
          <cell r="AY1579">
            <v>0</v>
          </cell>
          <cell r="AZ1579">
            <v>0</v>
          </cell>
          <cell r="BA1579">
            <v>0</v>
          </cell>
          <cell r="BD1579" t="str">
            <v/>
          </cell>
          <cell r="BE1579">
            <v>1</v>
          </cell>
          <cell r="BG1579" t="str">
            <v>1100</v>
          </cell>
        </row>
        <row r="1580">
          <cell r="B1580" t="str">
            <v>G303830206100200</v>
          </cell>
          <cell r="C1580" t="str">
            <v>30.和歌山県</v>
          </cell>
          <cell r="D1580" t="str">
            <v>383</v>
          </cell>
          <cell r="E1580" t="str">
            <v>由良町</v>
          </cell>
          <cell r="F1580" t="str">
            <v>02</v>
          </cell>
          <cell r="G1580" t="str">
            <v>特環 単独</v>
          </cell>
          <cell r="H1580" t="str">
            <v>特定環境保全公共下水道</v>
          </cell>
          <cell r="I1580" t="str">
            <v>単独</v>
          </cell>
          <cell r="J1580" t="str">
            <v>002</v>
          </cell>
          <cell r="K1580" t="str">
            <v>畑・中クリーンセンター</v>
          </cell>
          <cell r="M1580" t="str">
            <v>1</v>
          </cell>
          <cell r="N1580" t="str">
            <v>1</v>
          </cell>
          <cell r="Q1580">
            <v>37681</v>
          </cell>
          <cell r="R1580" t="str">
            <v>平成</v>
          </cell>
          <cell r="S1580">
            <v>15</v>
          </cell>
          <cell r="T1580">
            <v>3</v>
          </cell>
          <cell r="AB1580">
            <v>916</v>
          </cell>
          <cell r="AC1580" t="str">
            <v>瀬戸内海</v>
          </cell>
          <cell r="AD1580" t="str">
            <v>Ａ</v>
          </cell>
          <cell r="AE1580" t="str">
            <v>イ</v>
          </cell>
          <cell r="AJ1580" t="str">
            <v>由良川</v>
          </cell>
          <cell r="AQ1580" t="str">
            <v/>
          </cell>
          <cell r="AR1580" t="str">
            <v>オキシディションディッチ法</v>
          </cell>
          <cell r="AS1580" t="str">
            <v>3038302002</v>
          </cell>
          <cell r="AT1580" t="str">
            <v/>
          </cell>
          <cell r="AU1580" t="str">
            <v>10</v>
          </cell>
          <cell r="AV1580" t="str">
            <v>10</v>
          </cell>
          <cell r="AW1580">
            <v>0</v>
          </cell>
          <cell r="AX1580">
            <v>0</v>
          </cell>
          <cell r="AY1580">
            <v>0</v>
          </cell>
          <cell r="AZ1580">
            <v>0</v>
          </cell>
          <cell r="BA1580">
            <v>0</v>
          </cell>
          <cell r="BD1580" t="str">
            <v/>
          </cell>
          <cell r="BE1580">
            <v>1</v>
          </cell>
          <cell r="BG1580" t="str">
            <v>1100</v>
          </cell>
        </row>
        <row r="1581">
          <cell r="B1581" t="str">
            <v>G303910106100100</v>
          </cell>
          <cell r="C1581" t="str">
            <v>30.和歌山県</v>
          </cell>
          <cell r="D1581" t="str">
            <v>391</v>
          </cell>
          <cell r="E1581" t="str">
            <v>みなべ町</v>
          </cell>
          <cell r="F1581" t="str">
            <v>01</v>
          </cell>
          <cell r="G1581" t="str">
            <v>公共 単独</v>
          </cell>
          <cell r="H1581" t="str">
            <v>公共下水道</v>
          </cell>
          <cell r="I1581" t="str">
            <v>単独</v>
          </cell>
          <cell r="J1581" t="str">
            <v>001</v>
          </cell>
          <cell r="K1581" t="str">
            <v>みなべ浄化センター</v>
          </cell>
          <cell r="M1581" t="str">
            <v>1</v>
          </cell>
          <cell r="N1581" t="str">
            <v>1</v>
          </cell>
          <cell r="P1581" t="str">
            <v>1</v>
          </cell>
          <cell r="Q1581">
            <v>37530</v>
          </cell>
          <cell r="R1581" t="str">
            <v>平成</v>
          </cell>
          <cell r="S1581">
            <v>14</v>
          </cell>
          <cell r="T1581">
            <v>10</v>
          </cell>
          <cell r="AB1581">
            <v>11000</v>
          </cell>
          <cell r="AC1581" t="str">
            <v>南部川水域</v>
          </cell>
          <cell r="AD1581" t="str">
            <v>Ｂ</v>
          </cell>
          <cell r="AE1581" t="str">
            <v>イ</v>
          </cell>
          <cell r="AF1581">
            <v>7.5</v>
          </cell>
          <cell r="AJ1581" t="str">
            <v>古川</v>
          </cell>
          <cell r="AL1581" t="str">
            <v>南部川</v>
          </cell>
          <cell r="AM1581">
            <v>0.5</v>
          </cell>
          <cell r="AO1581" t="str">
            <v>みなべ町</v>
          </cell>
          <cell r="AQ1581" t="str">
            <v/>
          </cell>
          <cell r="AR1581" t="str">
            <v>オキシディションディッチ法</v>
          </cell>
          <cell r="AS1581" t="str">
            <v>3039101001</v>
          </cell>
          <cell r="AT1581" t="str">
            <v/>
          </cell>
          <cell r="AU1581" t="str">
            <v>10</v>
          </cell>
          <cell r="AV1581" t="str">
            <v>10</v>
          </cell>
          <cell r="AW1581">
            <v>1</v>
          </cell>
          <cell r="AX1581">
            <v>0</v>
          </cell>
          <cell r="AY1581">
            <v>0</v>
          </cell>
          <cell r="AZ1581">
            <v>0</v>
          </cell>
          <cell r="BA1581">
            <v>0</v>
          </cell>
          <cell r="BD1581" t="str">
            <v/>
          </cell>
          <cell r="BE1581">
            <v>1</v>
          </cell>
          <cell r="BG1581" t="str">
            <v>1101</v>
          </cell>
        </row>
        <row r="1582">
          <cell r="B1582" t="str">
            <v>G304010106100100</v>
          </cell>
          <cell r="C1582" t="str">
            <v>30.和歌山県</v>
          </cell>
          <cell r="D1582" t="str">
            <v>401</v>
          </cell>
          <cell r="E1582" t="str">
            <v>白浜町</v>
          </cell>
          <cell r="F1582" t="str">
            <v>01</v>
          </cell>
          <cell r="G1582" t="str">
            <v>公共 単独</v>
          </cell>
          <cell r="H1582" t="str">
            <v>公共下水道</v>
          </cell>
          <cell r="I1582" t="str">
            <v>単独</v>
          </cell>
          <cell r="J1582" t="str">
            <v>001</v>
          </cell>
          <cell r="K1582" t="str">
            <v>白浜浄化センター</v>
          </cell>
          <cell r="M1582" t="str">
            <v>1</v>
          </cell>
          <cell r="N1582" t="str">
            <v>1</v>
          </cell>
          <cell r="Q1582">
            <v>34639</v>
          </cell>
          <cell r="R1582" t="str">
            <v>平成</v>
          </cell>
          <cell r="S1582">
            <v>6</v>
          </cell>
          <cell r="T1582">
            <v>11</v>
          </cell>
          <cell r="AB1582">
            <v>8752</v>
          </cell>
          <cell r="AC1582" t="str">
            <v>鉛山湾</v>
          </cell>
          <cell r="AD1582" t="str">
            <v>Ａ</v>
          </cell>
          <cell r="AE1582" t="str">
            <v>イ</v>
          </cell>
          <cell r="AF1582">
            <v>15</v>
          </cell>
          <cell r="AI1582" t="str">
            <v>堀川</v>
          </cell>
          <cell r="AQ1582" t="str">
            <v/>
          </cell>
          <cell r="AR1582" t="str">
            <v>標準活性汚泥法</v>
          </cell>
          <cell r="AS1582" t="str">
            <v>3040101001</v>
          </cell>
          <cell r="AT1582" t="str">
            <v/>
          </cell>
          <cell r="AU1582" t="str">
            <v>10</v>
          </cell>
          <cell r="AV1582" t="str">
            <v>10</v>
          </cell>
          <cell r="AW1582">
            <v>0</v>
          </cell>
          <cell r="AX1582">
            <v>0</v>
          </cell>
          <cell r="AY1582">
            <v>0</v>
          </cell>
          <cell r="AZ1582">
            <v>0</v>
          </cell>
          <cell r="BA1582">
            <v>0</v>
          </cell>
          <cell r="BD1582" t="str">
            <v/>
          </cell>
          <cell r="BE1582">
            <v>1</v>
          </cell>
          <cell r="BG1582" t="str">
            <v>1100</v>
          </cell>
        </row>
        <row r="1583">
          <cell r="B1583" t="str">
            <v>G304040106100100</v>
          </cell>
          <cell r="C1583" t="str">
            <v>30.和歌山県</v>
          </cell>
          <cell r="D1583" t="str">
            <v>404</v>
          </cell>
          <cell r="E1583" t="str">
            <v>上富田町</v>
          </cell>
          <cell r="F1583" t="str">
            <v>01</v>
          </cell>
          <cell r="G1583" t="str">
            <v>公共 単独</v>
          </cell>
          <cell r="H1583" t="str">
            <v>公共下水道</v>
          </cell>
          <cell r="I1583" t="str">
            <v>単独</v>
          </cell>
          <cell r="J1583" t="str">
            <v>001</v>
          </cell>
          <cell r="K1583" t="str">
            <v>上富田浄化センター</v>
          </cell>
          <cell r="M1583" t="str">
            <v>1</v>
          </cell>
          <cell r="N1583" t="str">
            <v>1</v>
          </cell>
          <cell r="Q1583">
            <v>39173</v>
          </cell>
          <cell r="R1583" t="str">
            <v>平成</v>
          </cell>
          <cell r="S1583">
            <v>19</v>
          </cell>
          <cell r="T1583">
            <v>4</v>
          </cell>
          <cell r="AB1583">
            <v>10550</v>
          </cell>
          <cell r="AC1583" t="str">
            <v>富田川水域</v>
          </cell>
          <cell r="AD1583" t="str">
            <v>Ａ</v>
          </cell>
          <cell r="AE1583" t="str">
            <v>イ</v>
          </cell>
          <cell r="AF1583">
            <v>15</v>
          </cell>
          <cell r="AJ1583" t="str">
            <v>富田川水域</v>
          </cell>
          <cell r="AQ1583" t="str">
            <v/>
          </cell>
          <cell r="AR1583" t="str">
            <v>オキシディションディッチ法</v>
          </cell>
          <cell r="AS1583" t="str">
            <v>3040401001</v>
          </cell>
          <cell r="AT1583" t="str">
            <v/>
          </cell>
          <cell r="AU1583" t="str">
            <v>10</v>
          </cell>
          <cell r="AV1583" t="str">
            <v>10</v>
          </cell>
          <cell r="AW1583">
            <v>0</v>
          </cell>
          <cell r="AX1583">
            <v>0</v>
          </cell>
          <cell r="AY1583">
            <v>0</v>
          </cell>
          <cell r="AZ1583">
            <v>0</v>
          </cell>
          <cell r="BA1583">
            <v>0</v>
          </cell>
          <cell r="BD1583" t="str">
            <v/>
          </cell>
          <cell r="BE1583">
            <v>1</v>
          </cell>
          <cell r="BG1583" t="str">
            <v>1100</v>
          </cell>
        </row>
        <row r="1584">
          <cell r="B1584" t="str">
            <v>G304210206100100</v>
          </cell>
          <cell r="C1584" t="str">
            <v>30.和歌山県</v>
          </cell>
          <cell r="D1584" t="str">
            <v>421</v>
          </cell>
          <cell r="E1584" t="str">
            <v>那智勝浦町</v>
          </cell>
          <cell r="F1584" t="str">
            <v>02</v>
          </cell>
          <cell r="G1584" t="str">
            <v>特環 単独</v>
          </cell>
          <cell r="H1584" t="str">
            <v>特定環境保全公共下水道</v>
          </cell>
          <cell r="I1584" t="str">
            <v>単独</v>
          </cell>
          <cell r="J1584" t="str">
            <v>001</v>
          </cell>
          <cell r="K1584" t="str">
            <v>那智山浄化センター</v>
          </cell>
          <cell r="M1584" t="str">
            <v>1</v>
          </cell>
          <cell r="N1584" t="str">
            <v>1</v>
          </cell>
          <cell r="Q1584">
            <v>35886</v>
          </cell>
          <cell r="R1584" t="str">
            <v>平成</v>
          </cell>
          <cell r="S1584">
            <v>10</v>
          </cell>
          <cell r="T1584">
            <v>4</v>
          </cell>
          <cell r="AB1584">
            <v>3200</v>
          </cell>
          <cell r="AC1584" t="str">
            <v>那智川（二級河川）</v>
          </cell>
          <cell r="AD1584" t="str">
            <v>ＡＡ</v>
          </cell>
          <cell r="AE1584" t="str">
            <v>イ</v>
          </cell>
          <cell r="AJ1584" t="str">
            <v>那智川</v>
          </cell>
          <cell r="AL1584" t="str">
            <v>陰陽上水道取水口</v>
          </cell>
          <cell r="AM1584">
            <v>0.5</v>
          </cell>
          <cell r="AO1584" t="str">
            <v>那智勝浦町</v>
          </cell>
          <cell r="AQ1584" t="str">
            <v/>
          </cell>
          <cell r="AR1584" t="str">
            <v>嫌気好気活性汚泥法</v>
          </cell>
          <cell r="AS1584" t="str">
            <v>3042102001</v>
          </cell>
          <cell r="AT1584" t="str">
            <v/>
          </cell>
          <cell r="AU1584" t="str">
            <v>10</v>
          </cell>
          <cell r="AV1584" t="str">
            <v>10</v>
          </cell>
          <cell r="AW1584">
            <v>0</v>
          </cell>
          <cell r="AX1584">
            <v>0</v>
          </cell>
          <cell r="AY1584">
            <v>0</v>
          </cell>
          <cell r="AZ1584">
            <v>0</v>
          </cell>
          <cell r="BA1584">
            <v>0</v>
          </cell>
          <cell r="BD1584" t="str">
            <v/>
          </cell>
          <cell r="BE1584">
            <v>1</v>
          </cell>
          <cell r="BG1584" t="str">
            <v>1100</v>
          </cell>
        </row>
        <row r="1585">
          <cell r="B1585" t="str">
            <v>G304220106100100</v>
          </cell>
          <cell r="C1585" t="str">
            <v>30.和歌山県</v>
          </cell>
          <cell r="D1585" t="str">
            <v>422</v>
          </cell>
          <cell r="E1585" t="str">
            <v>太地町</v>
          </cell>
          <cell r="F1585" t="str">
            <v>01</v>
          </cell>
          <cell r="G1585" t="str">
            <v>公共 単独</v>
          </cell>
          <cell r="H1585" t="str">
            <v>公共下水道</v>
          </cell>
          <cell r="I1585" t="str">
            <v>単独</v>
          </cell>
          <cell r="J1585" t="str">
            <v>001</v>
          </cell>
          <cell r="K1585" t="str">
            <v>本浦終末処理場</v>
          </cell>
          <cell r="M1585" t="str">
            <v>1</v>
          </cell>
          <cell r="N1585" t="str">
            <v>1</v>
          </cell>
          <cell r="Q1585">
            <v>25263</v>
          </cell>
          <cell r="R1585" t="str">
            <v>昭和</v>
          </cell>
          <cell r="S1585">
            <v>44</v>
          </cell>
          <cell r="T1585">
            <v>3</v>
          </cell>
          <cell r="AB1585">
            <v>1450</v>
          </cell>
          <cell r="AC1585" t="str">
            <v>那智勝浦太地海域</v>
          </cell>
          <cell r="AD1585" t="str">
            <v>Ａ</v>
          </cell>
          <cell r="AE1585" t="str">
            <v>イ</v>
          </cell>
          <cell r="AI1585" t="str">
            <v>森浦湾</v>
          </cell>
          <cell r="AL1585" t="str">
            <v>市屋水源地</v>
          </cell>
          <cell r="AM1585">
            <v>3</v>
          </cell>
          <cell r="AO1585" t="str">
            <v>太地町</v>
          </cell>
          <cell r="AQ1585" t="str">
            <v/>
          </cell>
          <cell r="AR1585" t="str">
            <v>標準活性汚泥法</v>
          </cell>
          <cell r="AS1585" t="str">
            <v>3042201001</v>
          </cell>
          <cell r="AT1585" t="str">
            <v/>
          </cell>
          <cell r="AU1585" t="str">
            <v>10</v>
          </cell>
          <cell r="AV1585" t="str">
            <v>10</v>
          </cell>
          <cell r="AW1585">
            <v>0</v>
          </cell>
          <cell r="AX1585">
            <v>0</v>
          </cell>
          <cell r="AY1585">
            <v>0</v>
          </cell>
          <cell r="AZ1585">
            <v>0</v>
          </cell>
          <cell r="BA1585">
            <v>0</v>
          </cell>
          <cell r="BD1585" t="str">
            <v/>
          </cell>
          <cell r="BE1585">
            <v>1</v>
          </cell>
          <cell r="BG1585" t="str">
            <v>1100</v>
          </cell>
        </row>
        <row r="1586">
          <cell r="B1586" t="str">
            <v>G304280206100100</v>
          </cell>
          <cell r="C1586" t="str">
            <v>30.和歌山県</v>
          </cell>
          <cell r="D1586" t="str">
            <v>428</v>
          </cell>
          <cell r="E1586" t="str">
            <v>串本町</v>
          </cell>
          <cell r="F1586" t="str">
            <v>02</v>
          </cell>
          <cell r="G1586" t="str">
            <v>特環 単独</v>
          </cell>
          <cell r="H1586" t="str">
            <v>特定環境保全公共下水道</v>
          </cell>
          <cell r="I1586" t="str">
            <v>単独</v>
          </cell>
          <cell r="J1586" t="str">
            <v>001</v>
          </cell>
          <cell r="K1586" t="str">
            <v>大水崎浄化センター</v>
          </cell>
          <cell r="M1586" t="str">
            <v>1</v>
          </cell>
          <cell r="N1586" t="str">
            <v>1</v>
          </cell>
          <cell r="Q1586">
            <v>34608</v>
          </cell>
          <cell r="R1586" t="str">
            <v>平成</v>
          </cell>
          <cell r="S1586">
            <v>6</v>
          </cell>
          <cell r="T1586">
            <v>10</v>
          </cell>
          <cell r="AB1586">
            <v>3070</v>
          </cell>
          <cell r="AC1586" t="str">
            <v>串本地先海域</v>
          </cell>
          <cell r="AD1586" t="str">
            <v>Ａ</v>
          </cell>
          <cell r="AE1586" t="str">
            <v>イ</v>
          </cell>
          <cell r="AF1586">
            <v>15</v>
          </cell>
          <cell r="AI1586" t="str">
            <v>熊野灘</v>
          </cell>
          <cell r="AQ1586" t="str">
            <v/>
          </cell>
          <cell r="AR1586" t="str">
            <v>オキシディションディッチ法</v>
          </cell>
          <cell r="AS1586" t="str">
            <v>3042802001</v>
          </cell>
          <cell r="AT1586" t="str">
            <v/>
          </cell>
          <cell r="AU1586" t="str">
            <v>10</v>
          </cell>
          <cell r="AV1586" t="str">
            <v>10</v>
          </cell>
          <cell r="AW1586">
            <v>0</v>
          </cell>
          <cell r="AX1586">
            <v>0</v>
          </cell>
          <cell r="AY1586">
            <v>0</v>
          </cell>
          <cell r="AZ1586">
            <v>0</v>
          </cell>
          <cell r="BA1586">
            <v>0</v>
          </cell>
          <cell r="BD1586" t="str">
            <v/>
          </cell>
          <cell r="BE1586">
            <v>1</v>
          </cell>
          <cell r="BG1586" t="str">
            <v>1100</v>
          </cell>
        </row>
        <row r="1587">
          <cell r="B1587" t="str">
            <v>G310018106100100</v>
          </cell>
          <cell r="C1587" t="str">
            <v>31.鳥取県</v>
          </cell>
          <cell r="D1587" t="str">
            <v>001</v>
          </cell>
          <cell r="E1587" t="str">
            <v>天神川流域</v>
          </cell>
          <cell r="F1587" t="str">
            <v>81</v>
          </cell>
          <cell r="G1587" t="str">
            <v>流域</v>
          </cell>
          <cell r="H1587" t="str">
            <v>流域下水道</v>
          </cell>
          <cell r="I1587" t="str">
            <v/>
          </cell>
          <cell r="J1587" t="str">
            <v>001</v>
          </cell>
          <cell r="K1587" t="str">
            <v>天神浄化センター</v>
          </cell>
          <cell r="M1587" t="str">
            <v>1</v>
          </cell>
          <cell r="N1587" t="str">
            <v>1</v>
          </cell>
          <cell r="Q1587">
            <v>30731</v>
          </cell>
          <cell r="R1587" t="str">
            <v>昭和</v>
          </cell>
          <cell r="S1587">
            <v>59</v>
          </cell>
          <cell r="T1587">
            <v>2</v>
          </cell>
          <cell r="AB1587">
            <v>121600</v>
          </cell>
          <cell r="AC1587" t="str">
            <v>日本海</v>
          </cell>
          <cell r="AD1587" t="str">
            <v>Ａ</v>
          </cell>
          <cell r="AE1587" t="str">
            <v>イ</v>
          </cell>
          <cell r="AF1587">
            <v>15</v>
          </cell>
          <cell r="AI1587" t="str">
            <v>日本海</v>
          </cell>
          <cell r="AQ1587" t="str">
            <v/>
          </cell>
          <cell r="AR1587" t="str">
            <v>標準活性汚泥法</v>
          </cell>
          <cell r="AS1587" t="str">
            <v>3100181001</v>
          </cell>
          <cell r="AT1587" t="str">
            <v/>
          </cell>
          <cell r="AU1587" t="str">
            <v>10</v>
          </cell>
          <cell r="AV1587" t="str">
            <v>10</v>
          </cell>
          <cell r="AW1587">
            <v>0</v>
          </cell>
          <cell r="AX1587">
            <v>0</v>
          </cell>
          <cell r="AY1587">
            <v>0</v>
          </cell>
          <cell r="AZ1587">
            <v>0</v>
          </cell>
          <cell r="BA1587">
            <v>0</v>
          </cell>
          <cell r="BD1587" t="str">
            <v/>
          </cell>
          <cell r="BE1587">
            <v>1</v>
          </cell>
          <cell r="BG1587" t="str">
            <v>1100</v>
          </cell>
        </row>
        <row r="1588">
          <cell r="B1588" t="str">
            <v>G312010106100100</v>
          </cell>
          <cell r="C1588" t="str">
            <v>31.鳥取県</v>
          </cell>
          <cell r="D1588" t="str">
            <v>201</v>
          </cell>
          <cell r="E1588" t="str">
            <v>鳥取市</v>
          </cell>
          <cell r="F1588" t="str">
            <v>01</v>
          </cell>
          <cell r="G1588" t="str">
            <v>公共 単独</v>
          </cell>
          <cell r="H1588" t="str">
            <v>公共下水道</v>
          </cell>
          <cell r="I1588" t="str">
            <v>単独</v>
          </cell>
          <cell r="J1588" t="str">
            <v>001</v>
          </cell>
          <cell r="K1588" t="str">
            <v>秋里下水終末処理場</v>
          </cell>
          <cell r="M1588" t="str">
            <v>1</v>
          </cell>
          <cell r="N1588" t="str">
            <v>1</v>
          </cell>
          <cell r="Q1588">
            <v>25143</v>
          </cell>
          <cell r="R1588" t="str">
            <v>昭和</v>
          </cell>
          <cell r="S1588">
            <v>43</v>
          </cell>
          <cell r="T1588">
            <v>11</v>
          </cell>
          <cell r="AB1588">
            <v>70700</v>
          </cell>
          <cell r="AC1588" t="str">
            <v>千代川</v>
          </cell>
          <cell r="AD1588" t="str">
            <v>Ａ</v>
          </cell>
          <cell r="AE1588" t="str">
            <v>イ</v>
          </cell>
          <cell r="AF1588">
            <v>15</v>
          </cell>
          <cell r="AK1588" t="str">
            <v>袋川</v>
          </cell>
          <cell r="AL1588" t="str">
            <v>向国安水源地</v>
          </cell>
          <cell r="AM1588">
            <v>7</v>
          </cell>
          <cell r="AO1588" t="str">
            <v>鳥取市</v>
          </cell>
          <cell r="AQ1588" t="str">
            <v/>
          </cell>
          <cell r="AR1588" t="str">
            <v>標準活性汚泥法</v>
          </cell>
          <cell r="AS1588" t="str">
            <v>3120101001</v>
          </cell>
          <cell r="AT1588" t="str">
            <v/>
          </cell>
          <cell r="AU1588" t="str">
            <v>10</v>
          </cell>
          <cell r="AV1588" t="str">
            <v>10</v>
          </cell>
          <cell r="AW1588">
            <v>0</v>
          </cell>
          <cell r="AX1588">
            <v>0</v>
          </cell>
          <cell r="AY1588">
            <v>0</v>
          </cell>
          <cell r="AZ1588">
            <v>0</v>
          </cell>
          <cell r="BA1588">
            <v>0</v>
          </cell>
          <cell r="BD1588" t="str">
            <v/>
          </cell>
          <cell r="BE1588">
            <v>1</v>
          </cell>
          <cell r="BG1588" t="str">
            <v>1100</v>
          </cell>
        </row>
        <row r="1589">
          <cell r="B1589" t="str">
            <v>G312010106100200</v>
          </cell>
          <cell r="C1589" t="str">
            <v>31.鳥取県</v>
          </cell>
          <cell r="D1589" t="str">
            <v>201</v>
          </cell>
          <cell r="E1589" t="str">
            <v>鳥取市</v>
          </cell>
          <cell r="F1589" t="str">
            <v>01</v>
          </cell>
          <cell r="G1589" t="str">
            <v>公共 単独</v>
          </cell>
          <cell r="H1589" t="str">
            <v>公共下水道</v>
          </cell>
          <cell r="I1589" t="str">
            <v>単独</v>
          </cell>
          <cell r="J1589" t="str">
            <v>002</v>
          </cell>
          <cell r="K1589" t="str">
            <v>末恒下水終末処理場</v>
          </cell>
          <cell r="M1589" t="str">
            <v>1</v>
          </cell>
          <cell r="N1589" t="str">
            <v>1</v>
          </cell>
          <cell r="Q1589">
            <v>27485</v>
          </cell>
          <cell r="R1589" t="str">
            <v>昭和</v>
          </cell>
          <cell r="S1589">
            <v>50</v>
          </cell>
          <cell r="T1589">
            <v>4</v>
          </cell>
          <cell r="AB1589">
            <v>3270</v>
          </cell>
          <cell r="AC1589" t="str">
            <v>日本海</v>
          </cell>
          <cell r="AD1589" t="str">
            <v>Ａ</v>
          </cell>
          <cell r="AE1589" t="str">
            <v>イ</v>
          </cell>
          <cell r="AF1589">
            <v>15</v>
          </cell>
          <cell r="AJ1589" t="str">
            <v>溝川</v>
          </cell>
          <cell r="AP1589" t="str">
            <v>H22年3月の認可で廃止</v>
          </cell>
          <cell r="AQ1589" t="str">
            <v/>
          </cell>
          <cell r="AR1589" t="str">
            <v>標準活性汚泥法</v>
          </cell>
          <cell r="AS1589" t="str">
            <v>3120101002</v>
          </cell>
          <cell r="AT1589" t="str">
            <v/>
          </cell>
          <cell r="AU1589" t="str">
            <v>10</v>
          </cell>
          <cell r="AV1589" t="str">
            <v>10</v>
          </cell>
          <cell r="AW1589">
            <v>0</v>
          </cell>
          <cell r="AX1589">
            <v>0</v>
          </cell>
          <cell r="AY1589">
            <v>0</v>
          </cell>
          <cell r="AZ1589">
            <v>0</v>
          </cell>
          <cell r="BA1589">
            <v>0</v>
          </cell>
          <cell r="BD1589" t="str">
            <v/>
          </cell>
          <cell r="BE1589">
            <v>1</v>
          </cell>
          <cell r="BG1589" t="str">
            <v>1100</v>
          </cell>
        </row>
        <row r="1590">
          <cell r="B1590" t="str">
            <v>G312010106100300</v>
          </cell>
          <cell r="C1590" t="str">
            <v>31.鳥取県</v>
          </cell>
          <cell r="D1590" t="str">
            <v>201</v>
          </cell>
          <cell r="E1590" t="str">
            <v>鳥取市</v>
          </cell>
          <cell r="F1590" t="str">
            <v>01</v>
          </cell>
          <cell r="G1590" t="str">
            <v>公共 単独</v>
          </cell>
          <cell r="H1590" t="str">
            <v>公共下水道</v>
          </cell>
          <cell r="I1590" t="str">
            <v>単独</v>
          </cell>
          <cell r="J1590" t="str">
            <v>003</v>
          </cell>
          <cell r="K1590" t="str">
            <v>河原浄化センター</v>
          </cell>
          <cell r="M1590" t="str">
            <v>1</v>
          </cell>
          <cell r="N1590" t="str">
            <v>1</v>
          </cell>
          <cell r="Q1590">
            <v>34973</v>
          </cell>
          <cell r="R1590" t="str">
            <v>平成</v>
          </cell>
          <cell r="S1590">
            <v>7</v>
          </cell>
          <cell r="T1590">
            <v>10</v>
          </cell>
          <cell r="AB1590">
            <v>8900</v>
          </cell>
          <cell r="AC1590" t="str">
            <v>千代川</v>
          </cell>
          <cell r="AD1590" t="str">
            <v>ＡＡ</v>
          </cell>
          <cell r="AE1590" t="str">
            <v>イ</v>
          </cell>
          <cell r="AF1590">
            <v>15</v>
          </cell>
          <cell r="AI1590" t="str">
            <v>北川</v>
          </cell>
          <cell r="AK1590" t="str">
            <v>千代川</v>
          </cell>
          <cell r="AL1590" t="str">
            <v>向国安水源地</v>
          </cell>
          <cell r="AN1590">
            <v>1.6</v>
          </cell>
          <cell r="AO1590" t="str">
            <v>鳥取市</v>
          </cell>
          <cell r="AQ1590" t="str">
            <v/>
          </cell>
          <cell r="AR1590" t="str">
            <v>オキシディションディッチ法</v>
          </cell>
          <cell r="AS1590" t="str">
            <v>3120101003</v>
          </cell>
          <cell r="AT1590" t="str">
            <v/>
          </cell>
          <cell r="AU1590" t="str">
            <v>10</v>
          </cell>
          <cell r="AV1590" t="str">
            <v>10</v>
          </cell>
          <cell r="AW1590">
            <v>0</v>
          </cell>
          <cell r="AX1590">
            <v>0</v>
          </cell>
          <cell r="AY1590">
            <v>0</v>
          </cell>
          <cell r="AZ1590">
            <v>0</v>
          </cell>
          <cell r="BA1590">
            <v>0</v>
          </cell>
          <cell r="BD1590" t="str">
            <v/>
          </cell>
          <cell r="BE1590">
            <v>1</v>
          </cell>
          <cell r="BG1590" t="str">
            <v>1100</v>
          </cell>
        </row>
        <row r="1591">
          <cell r="B1591" t="str">
            <v>G312010106100400</v>
          </cell>
          <cell r="C1591" t="str">
            <v>31.鳥取県</v>
          </cell>
          <cell r="D1591" t="str">
            <v>201</v>
          </cell>
          <cell r="E1591" t="str">
            <v>鳥取市</v>
          </cell>
          <cell r="F1591" t="str">
            <v>01</v>
          </cell>
          <cell r="G1591" t="str">
            <v>公共 単独</v>
          </cell>
          <cell r="H1591" t="str">
            <v>公共下水道</v>
          </cell>
          <cell r="I1591" t="str">
            <v>単独</v>
          </cell>
          <cell r="J1591" t="str">
            <v>004</v>
          </cell>
          <cell r="K1591" t="str">
            <v>千代水クリーンセンター</v>
          </cell>
          <cell r="M1591" t="str">
            <v>1</v>
          </cell>
          <cell r="Q1591">
            <v>35521</v>
          </cell>
          <cell r="R1591" t="str">
            <v>平成</v>
          </cell>
          <cell r="S1591">
            <v>9</v>
          </cell>
          <cell r="T1591">
            <v>4</v>
          </cell>
          <cell r="AB1591">
            <v>58600</v>
          </cell>
          <cell r="AC1591" t="str">
            <v>千代川</v>
          </cell>
          <cell r="AD1591" t="str">
            <v>Ａ</v>
          </cell>
          <cell r="AE1591" t="str">
            <v>イ</v>
          </cell>
          <cell r="AF1591">
            <v>15</v>
          </cell>
          <cell r="AK1591" t="str">
            <v>千代川</v>
          </cell>
          <cell r="AL1591" t="str">
            <v>向国安水源地</v>
          </cell>
          <cell r="AM1591">
            <v>6</v>
          </cell>
          <cell r="AO1591" t="str">
            <v>鳥取市</v>
          </cell>
          <cell r="AQ1591" t="str">
            <v/>
          </cell>
          <cell r="AR1591" t="str">
            <v>標準活性汚泥法</v>
          </cell>
          <cell r="AS1591" t="str">
            <v>3120101004</v>
          </cell>
          <cell r="AT1591" t="str">
            <v/>
          </cell>
          <cell r="AU1591" t="str">
            <v>00</v>
          </cell>
          <cell r="AV1591" t="str">
            <v>00</v>
          </cell>
          <cell r="AW1591">
            <v>0</v>
          </cell>
          <cell r="AX1591">
            <v>0</v>
          </cell>
          <cell r="AY1591">
            <v>0</v>
          </cell>
          <cell r="AZ1591">
            <v>0</v>
          </cell>
          <cell r="BA1591">
            <v>0</v>
          </cell>
          <cell r="BD1591" t="str">
            <v/>
          </cell>
          <cell r="BE1591">
            <v>1</v>
          </cell>
          <cell r="BG1591" t="str">
            <v>1000</v>
          </cell>
        </row>
        <row r="1592">
          <cell r="B1592" t="str">
            <v>G312010206100500</v>
          </cell>
          <cell r="C1592" t="str">
            <v>31.鳥取県</v>
          </cell>
          <cell r="D1592" t="str">
            <v>201</v>
          </cell>
          <cell r="E1592" t="str">
            <v>鳥取市</v>
          </cell>
          <cell r="F1592" t="str">
            <v>02</v>
          </cell>
          <cell r="G1592" t="str">
            <v>特環 単独</v>
          </cell>
          <cell r="H1592" t="str">
            <v>特定環境保全公共下水道</v>
          </cell>
          <cell r="I1592" t="str">
            <v>単独</v>
          </cell>
          <cell r="J1592" t="str">
            <v>005</v>
          </cell>
          <cell r="K1592" t="str">
            <v>吉岡クリーンセンター</v>
          </cell>
          <cell r="M1592" t="str">
            <v>1</v>
          </cell>
          <cell r="N1592" t="str">
            <v>1</v>
          </cell>
          <cell r="Q1592">
            <v>35156</v>
          </cell>
          <cell r="R1592" t="str">
            <v>平成</v>
          </cell>
          <cell r="S1592">
            <v>8</v>
          </cell>
          <cell r="T1592">
            <v>4</v>
          </cell>
          <cell r="AB1592">
            <v>4475</v>
          </cell>
          <cell r="AC1592" t="str">
            <v>湖山池</v>
          </cell>
          <cell r="AD1592" t="str">
            <v>Ａ</v>
          </cell>
          <cell r="AE1592" t="str">
            <v>ロ</v>
          </cell>
          <cell r="AF1592">
            <v>15</v>
          </cell>
          <cell r="AG1592">
            <v>20</v>
          </cell>
          <cell r="AH1592">
            <v>1.9</v>
          </cell>
          <cell r="AI1592" t="str">
            <v>湖沼</v>
          </cell>
          <cell r="AQ1592" t="str">
            <v/>
          </cell>
          <cell r="AR1592" t="str">
            <v>高度処理オキシディションディッチ法</v>
          </cell>
          <cell r="AS1592" t="str">
            <v>3120102005</v>
          </cell>
          <cell r="AT1592" t="str">
            <v/>
          </cell>
          <cell r="AU1592" t="str">
            <v>10</v>
          </cell>
          <cell r="AV1592" t="str">
            <v>10</v>
          </cell>
          <cell r="AW1592">
            <v>0</v>
          </cell>
          <cell r="AX1592">
            <v>0</v>
          </cell>
          <cell r="AY1592">
            <v>0</v>
          </cell>
          <cell r="AZ1592">
            <v>0</v>
          </cell>
          <cell r="BA1592">
            <v>0</v>
          </cell>
          <cell r="BD1592" t="str">
            <v/>
          </cell>
          <cell r="BE1592">
            <v>1</v>
          </cell>
          <cell r="BG1592" t="str">
            <v>1100</v>
          </cell>
        </row>
        <row r="1593">
          <cell r="B1593" t="str">
            <v>G312010206100600</v>
          </cell>
          <cell r="C1593" t="str">
            <v>31.鳥取県</v>
          </cell>
          <cell r="D1593" t="str">
            <v>201</v>
          </cell>
          <cell r="E1593" t="str">
            <v>鳥取市</v>
          </cell>
          <cell r="F1593" t="str">
            <v>02</v>
          </cell>
          <cell r="G1593" t="str">
            <v>特環 単独</v>
          </cell>
          <cell r="H1593" t="str">
            <v>特定環境保全公共下水道</v>
          </cell>
          <cell r="I1593" t="str">
            <v>単独</v>
          </cell>
          <cell r="J1593" t="str">
            <v>006</v>
          </cell>
          <cell r="K1593" t="str">
            <v>鹿野浄化センター</v>
          </cell>
          <cell r="M1593" t="str">
            <v>1</v>
          </cell>
          <cell r="N1593" t="str">
            <v>1</v>
          </cell>
          <cell r="Q1593">
            <v>35156</v>
          </cell>
          <cell r="R1593" t="str">
            <v>平成</v>
          </cell>
          <cell r="S1593">
            <v>8</v>
          </cell>
          <cell r="T1593">
            <v>4</v>
          </cell>
          <cell r="AB1593">
            <v>4100</v>
          </cell>
          <cell r="AC1593" t="str">
            <v>設定なし</v>
          </cell>
          <cell r="AF1593">
            <v>20</v>
          </cell>
          <cell r="AJ1593" t="str">
            <v>水谷川</v>
          </cell>
          <cell r="AQ1593" t="str">
            <v/>
          </cell>
          <cell r="AR1593" t="str">
            <v>オキシディションディッチ法</v>
          </cell>
          <cell r="AS1593" t="str">
            <v>3120102006</v>
          </cell>
          <cell r="AT1593" t="str">
            <v/>
          </cell>
          <cell r="AU1593" t="str">
            <v>10</v>
          </cell>
          <cell r="AV1593" t="str">
            <v>10</v>
          </cell>
          <cell r="AW1593">
            <v>0</v>
          </cell>
          <cell r="AX1593">
            <v>0</v>
          </cell>
          <cell r="AY1593">
            <v>0</v>
          </cell>
          <cell r="AZ1593">
            <v>0</v>
          </cell>
          <cell r="BA1593">
            <v>0</v>
          </cell>
          <cell r="BD1593" t="str">
            <v/>
          </cell>
          <cell r="BE1593">
            <v>1</v>
          </cell>
          <cell r="BG1593" t="str">
            <v>1100</v>
          </cell>
        </row>
        <row r="1594">
          <cell r="B1594" t="str">
            <v>G312010206100700</v>
          </cell>
          <cell r="C1594" t="str">
            <v>31.鳥取県</v>
          </cell>
          <cell r="D1594" t="str">
            <v>201</v>
          </cell>
          <cell r="E1594" t="str">
            <v>鳥取市</v>
          </cell>
          <cell r="F1594" t="str">
            <v>02</v>
          </cell>
          <cell r="G1594" t="str">
            <v>特環 単独</v>
          </cell>
          <cell r="H1594" t="str">
            <v>特定環境保全公共下水道</v>
          </cell>
          <cell r="I1594" t="str">
            <v>単独</v>
          </cell>
          <cell r="J1594" t="str">
            <v>007</v>
          </cell>
          <cell r="K1594" t="str">
            <v>青谷浄化センター</v>
          </cell>
          <cell r="M1594" t="str">
            <v>1</v>
          </cell>
          <cell r="N1594" t="str">
            <v>1</v>
          </cell>
          <cell r="Q1594">
            <v>35886</v>
          </cell>
          <cell r="R1594" t="str">
            <v>平成</v>
          </cell>
          <cell r="S1594">
            <v>10</v>
          </cell>
          <cell r="T1594">
            <v>4</v>
          </cell>
          <cell r="AB1594">
            <v>5900</v>
          </cell>
          <cell r="AC1594" t="str">
            <v>設定なし</v>
          </cell>
          <cell r="AJ1594" t="str">
            <v>勝部川</v>
          </cell>
          <cell r="AQ1594" t="str">
            <v/>
          </cell>
          <cell r="AR1594" t="str">
            <v>オキシディションディッチ法</v>
          </cell>
          <cell r="AS1594" t="str">
            <v>3120102007</v>
          </cell>
          <cell r="AT1594" t="str">
            <v/>
          </cell>
          <cell r="AU1594" t="str">
            <v>10</v>
          </cell>
          <cell r="AV1594" t="str">
            <v>10</v>
          </cell>
          <cell r="AW1594">
            <v>0</v>
          </cell>
          <cell r="AX1594">
            <v>0</v>
          </cell>
          <cell r="AY1594">
            <v>0</v>
          </cell>
          <cell r="AZ1594">
            <v>0</v>
          </cell>
          <cell r="BA1594">
            <v>0</v>
          </cell>
          <cell r="BD1594" t="str">
            <v/>
          </cell>
          <cell r="BE1594">
            <v>1</v>
          </cell>
          <cell r="BG1594" t="str">
            <v>1100</v>
          </cell>
        </row>
        <row r="1595">
          <cell r="B1595" t="str">
            <v>G312010206100800</v>
          </cell>
          <cell r="C1595" t="str">
            <v>31.鳥取県</v>
          </cell>
          <cell r="D1595" t="str">
            <v>201</v>
          </cell>
          <cell r="E1595" t="str">
            <v>鳥取市</v>
          </cell>
          <cell r="F1595" t="str">
            <v>02</v>
          </cell>
          <cell r="G1595" t="str">
            <v>特環 単独</v>
          </cell>
          <cell r="H1595" t="str">
            <v>特定環境保全公共下水道</v>
          </cell>
          <cell r="I1595" t="str">
            <v>単独</v>
          </cell>
          <cell r="J1595" t="str">
            <v>008</v>
          </cell>
          <cell r="K1595" t="str">
            <v>浜村浄化センター</v>
          </cell>
          <cell r="M1595" t="str">
            <v>1</v>
          </cell>
          <cell r="N1595" t="str">
            <v>1</v>
          </cell>
          <cell r="Q1595">
            <v>36251</v>
          </cell>
          <cell r="R1595" t="str">
            <v>平成</v>
          </cell>
          <cell r="S1595">
            <v>11</v>
          </cell>
          <cell r="T1595">
            <v>4</v>
          </cell>
          <cell r="AB1595">
            <v>11200</v>
          </cell>
          <cell r="AC1595" t="str">
            <v>設定なし</v>
          </cell>
          <cell r="AF1595">
            <v>20</v>
          </cell>
          <cell r="AJ1595" t="str">
            <v>浜村川</v>
          </cell>
          <cell r="AQ1595" t="str">
            <v/>
          </cell>
          <cell r="AR1595" t="str">
            <v>オキシディションディッチ法</v>
          </cell>
          <cell r="AS1595" t="str">
            <v>3120102008</v>
          </cell>
          <cell r="AT1595" t="str">
            <v/>
          </cell>
          <cell r="AU1595" t="str">
            <v>10</v>
          </cell>
          <cell r="AV1595" t="str">
            <v>10</v>
          </cell>
          <cell r="AW1595">
            <v>0</v>
          </cell>
          <cell r="AX1595">
            <v>0</v>
          </cell>
          <cell r="AY1595">
            <v>0</v>
          </cell>
          <cell r="AZ1595">
            <v>0</v>
          </cell>
          <cell r="BA1595">
            <v>0</v>
          </cell>
          <cell r="BD1595" t="str">
            <v/>
          </cell>
          <cell r="BE1595">
            <v>1</v>
          </cell>
          <cell r="BG1595" t="str">
            <v>1100</v>
          </cell>
        </row>
        <row r="1596">
          <cell r="B1596" t="str">
            <v>G312010206100900</v>
          </cell>
          <cell r="C1596" t="str">
            <v>31.鳥取県</v>
          </cell>
          <cell r="D1596" t="str">
            <v>201</v>
          </cell>
          <cell r="E1596" t="str">
            <v>鳥取市</v>
          </cell>
          <cell r="F1596" t="str">
            <v>02</v>
          </cell>
          <cell r="G1596" t="str">
            <v>特環 単独</v>
          </cell>
          <cell r="H1596" t="str">
            <v>特定環境保全公共下水道</v>
          </cell>
          <cell r="I1596" t="str">
            <v>単独</v>
          </cell>
          <cell r="J1596" t="str">
            <v>009</v>
          </cell>
          <cell r="K1596" t="str">
            <v>用瀬浄化センター</v>
          </cell>
          <cell r="M1596" t="str">
            <v>1</v>
          </cell>
          <cell r="N1596" t="str">
            <v>1</v>
          </cell>
          <cell r="Q1596">
            <v>37347</v>
          </cell>
          <cell r="R1596" t="str">
            <v>平成</v>
          </cell>
          <cell r="S1596">
            <v>14</v>
          </cell>
          <cell r="T1596">
            <v>4</v>
          </cell>
          <cell r="AB1596">
            <v>4300</v>
          </cell>
          <cell r="AC1596" t="str">
            <v>千代川</v>
          </cell>
          <cell r="AD1596" t="str">
            <v>ＡＡ</v>
          </cell>
          <cell r="AE1596" t="str">
            <v>イ</v>
          </cell>
          <cell r="AF1596">
            <v>15</v>
          </cell>
          <cell r="AI1596" t="str">
            <v>農業用水路</v>
          </cell>
          <cell r="AQ1596" t="str">
            <v/>
          </cell>
          <cell r="AR1596" t="str">
            <v>オキシディションディッチ法</v>
          </cell>
          <cell r="AS1596" t="str">
            <v>3120102009</v>
          </cell>
          <cell r="AT1596" t="str">
            <v/>
          </cell>
          <cell r="AU1596" t="str">
            <v>10</v>
          </cell>
          <cell r="AV1596" t="str">
            <v>10</v>
          </cell>
          <cell r="AW1596">
            <v>0</v>
          </cell>
          <cell r="AX1596">
            <v>0</v>
          </cell>
          <cell r="AY1596">
            <v>0</v>
          </cell>
          <cell r="AZ1596">
            <v>0</v>
          </cell>
          <cell r="BA1596">
            <v>0</v>
          </cell>
          <cell r="BD1596" t="str">
            <v/>
          </cell>
          <cell r="BE1596">
            <v>1</v>
          </cell>
          <cell r="BG1596" t="str">
            <v>1100</v>
          </cell>
        </row>
        <row r="1597">
          <cell r="B1597" t="str">
            <v>G312010206101000</v>
          </cell>
          <cell r="C1597" t="str">
            <v>31.鳥取県</v>
          </cell>
          <cell r="D1597" t="str">
            <v>201</v>
          </cell>
          <cell r="E1597" t="str">
            <v>鳥取市</v>
          </cell>
          <cell r="F1597" t="str">
            <v>02</v>
          </cell>
          <cell r="G1597" t="str">
            <v>特環 単独</v>
          </cell>
          <cell r="H1597" t="str">
            <v>特定環境保全公共下水道</v>
          </cell>
          <cell r="I1597" t="str">
            <v>単独</v>
          </cell>
          <cell r="J1597" t="str">
            <v>010</v>
          </cell>
          <cell r="K1597" t="str">
            <v>今市浄化センター</v>
          </cell>
          <cell r="M1597" t="str">
            <v>1</v>
          </cell>
          <cell r="N1597" t="str">
            <v>1</v>
          </cell>
          <cell r="Q1597">
            <v>37712</v>
          </cell>
          <cell r="R1597" t="str">
            <v>平成</v>
          </cell>
          <cell r="S1597">
            <v>15</v>
          </cell>
          <cell r="T1597">
            <v>4</v>
          </cell>
          <cell r="AB1597">
            <v>5700</v>
          </cell>
          <cell r="AC1597" t="str">
            <v>設定なし</v>
          </cell>
          <cell r="AF1597">
            <v>20</v>
          </cell>
          <cell r="AJ1597" t="str">
            <v>浜村川</v>
          </cell>
          <cell r="AQ1597" t="str">
            <v/>
          </cell>
          <cell r="AR1597" t="str">
            <v>オキシディションディッチ法</v>
          </cell>
          <cell r="AS1597" t="str">
            <v>3120102010</v>
          </cell>
          <cell r="AT1597" t="str">
            <v/>
          </cell>
          <cell r="AU1597" t="str">
            <v>10</v>
          </cell>
          <cell r="AV1597" t="str">
            <v>10</v>
          </cell>
          <cell r="AW1597">
            <v>0</v>
          </cell>
          <cell r="AX1597">
            <v>0</v>
          </cell>
          <cell r="AY1597">
            <v>0</v>
          </cell>
          <cell r="AZ1597">
            <v>0</v>
          </cell>
          <cell r="BA1597">
            <v>0</v>
          </cell>
          <cell r="BD1597" t="str">
            <v/>
          </cell>
          <cell r="BE1597">
            <v>1</v>
          </cell>
          <cell r="BG1597" t="str">
            <v>1100</v>
          </cell>
        </row>
        <row r="1598">
          <cell r="B1598" t="str">
            <v>G312020106100100</v>
          </cell>
          <cell r="C1598" t="str">
            <v>31.鳥取県</v>
          </cell>
          <cell r="D1598" t="str">
            <v>202</v>
          </cell>
          <cell r="E1598" t="str">
            <v>米子市</v>
          </cell>
          <cell r="F1598" t="str">
            <v>01</v>
          </cell>
          <cell r="G1598" t="str">
            <v>公共 単独</v>
          </cell>
          <cell r="H1598" t="str">
            <v>公共下水道</v>
          </cell>
          <cell r="I1598" t="str">
            <v>単独</v>
          </cell>
          <cell r="J1598" t="str">
            <v>001</v>
          </cell>
          <cell r="K1598" t="str">
            <v>内浜処理場</v>
          </cell>
          <cell r="M1598" t="str">
            <v>1</v>
          </cell>
          <cell r="N1598" t="str">
            <v>1</v>
          </cell>
          <cell r="Q1598">
            <v>27303</v>
          </cell>
          <cell r="R1598" t="str">
            <v>昭和</v>
          </cell>
          <cell r="S1598">
            <v>49</v>
          </cell>
          <cell r="T1598">
            <v>10</v>
          </cell>
          <cell r="AB1598">
            <v>89800</v>
          </cell>
          <cell r="AC1598" t="str">
            <v>中海</v>
          </cell>
          <cell r="AD1598" t="str">
            <v>Ａ</v>
          </cell>
          <cell r="AE1598" t="str">
            <v>ロ</v>
          </cell>
          <cell r="AF1598">
            <v>5</v>
          </cell>
          <cell r="AG1598">
            <v>8</v>
          </cell>
          <cell r="AH1598">
            <v>0.3</v>
          </cell>
          <cell r="AI1598" t="str">
            <v>中海</v>
          </cell>
          <cell r="AL1598" t="str">
            <v>車尾水源地</v>
          </cell>
          <cell r="AM1598">
            <v>5.5</v>
          </cell>
          <cell r="AO1598" t="str">
            <v>米子市･境港市･日吉津村</v>
          </cell>
          <cell r="AQ1598" t="str">
            <v/>
          </cell>
          <cell r="AR1598" t="str">
            <v>その他処理方法</v>
          </cell>
          <cell r="AS1598" t="str">
            <v>3120201001</v>
          </cell>
          <cell r="AT1598" t="str">
            <v/>
          </cell>
          <cell r="AU1598" t="str">
            <v>10</v>
          </cell>
          <cell r="AV1598" t="str">
            <v>10</v>
          </cell>
          <cell r="AW1598">
            <v>0</v>
          </cell>
          <cell r="AX1598">
            <v>0</v>
          </cell>
          <cell r="AY1598">
            <v>0</v>
          </cell>
          <cell r="AZ1598">
            <v>0</v>
          </cell>
          <cell r="BA1598">
            <v>0</v>
          </cell>
          <cell r="BD1598" t="str">
            <v/>
          </cell>
          <cell r="BE1598">
            <v>1</v>
          </cell>
          <cell r="BG1598" t="str">
            <v>1100</v>
          </cell>
        </row>
        <row r="1599">
          <cell r="B1599" t="str">
            <v>G312020106100200</v>
          </cell>
          <cell r="C1599" t="str">
            <v>31.鳥取県</v>
          </cell>
          <cell r="D1599" t="str">
            <v>202</v>
          </cell>
          <cell r="E1599" t="str">
            <v>米子市</v>
          </cell>
          <cell r="F1599" t="str">
            <v>01</v>
          </cell>
          <cell r="G1599" t="str">
            <v>公共 単独</v>
          </cell>
          <cell r="H1599" t="str">
            <v>公共下水道</v>
          </cell>
          <cell r="I1599" t="str">
            <v>単独</v>
          </cell>
          <cell r="J1599" t="str">
            <v>002</v>
          </cell>
          <cell r="K1599" t="str">
            <v>皆生処理場</v>
          </cell>
          <cell r="M1599" t="str">
            <v>1</v>
          </cell>
          <cell r="Q1599">
            <v>29526</v>
          </cell>
          <cell r="R1599" t="str">
            <v>昭和</v>
          </cell>
          <cell r="S1599">
            <v>55</v>
          </cell>
          <cell r="T1599">
            <v>11</v>
          </cell>
          <cell r="AB1599">
            <v>66160</v>
          </cell>
          <cell r="AC1599" t="str">
            <v>美保湾(乙)</v>
          </cell>
          <cell r="AD1599" t="str">
            <v>Ａ</v>
          </cell>
          <cell r="AE1599" t="str">
            <v>ロ</v>
          </cell>
          <cell r="AF1599">
            <v>15</v>
          </cell>
          <cell r="AI1599" t="str">
            <v>美保湾</v>
          </cell>
          <cell r="AL1599" t="str">
            <v>日吉津水源地</v>
          </cell>
          <cell r="AM1599">
            <v>2.5</v>
          </cell>
          <cell r="AO1599" t="str">
            <v>日吉津村</v>
          </cell>
          <cell r="AQ1599" t="str">
            <v/>
          </cell>
          <cell r="AR1599" t="str">
            <v>標準活性汚泥法</v>
          </cell>
          <cell r="AS1599" t="str">
            <v>3120201002</v>
          </cell>
          <cell r="AT1599">
            <v>1</v>
          </cell>
          <cell r="AU1599" t="str">
            <v>00</v>
          </cell>
          <cell r="AV1599" t="str">
            <v>00</v>
          </cell>
          <cell r="AW1599">
            <v>0</v>
          </cell>
          <cell r="AX1599">
            <v>0</v>
          </cell>
          <cell r="AY1599">
            <v>0</v>
          </cell>
          <cell r="AZ1599">
            <v>0</v>
          </cell>
          <cell r="BA1599">
            <v>0</v>
          </cell>
          <cell r="BD1599" t="str">
            <v/>
          </cell>
          <cell r="BE1599">
            <v>1</v>
          </cell>
          <cell r="BG1599" t="str">
            <v>1000</v>
          </cell>
        </row>
        <row r="1600">
          <cell r="B1600" t="str">
            <v>G312020106100300</v>
          </cell>
          <cell r="C1600" t="str">
            <v>31.鳥取県</v>
          </cell>
          <cell r="D1600" t="str">
            <v>202</v>
          </cell>
          <cell r="E1600" t="str">
            <v>米子市</v>
          </cell>
          <cell r="F1600" t="str">
            <v>01</v>
          </cell>
          <cell r="G1600" t="str">
            <v>公共 単独</v>
          </cell>
          <cell r="H1600" t="str">
            <v>公共下水道</v>
          </cell>
          <cell r="I1600" t="str">
            <v>単独</v>
          </cell>
          <cell r="J1600" t="str">
            <v>003</v>
          </cell>
          <cell r="K1600" t="str">
            <v>淀江浄化センター</v>
          </cell>
          <cell r="M1600" t="str">
            <v>1</v>
          </cell>
          <cell r="N1600" t="str">
            <v>1</v>
          </cell>
          <cell r="Q1600">
            <v>36617</v>
          </cell>
          <cell r="R1600" t="str">
            <v>平成</v>
          </cell>
          <cell r="S1600">
            <v>12</v>
          </cell>
          <cell r="T1600">
            <v>4</v>
          </cell>
          <cell r="AB1600">
            <v>27400</v>
          </cell>
          <cell r="AF1600">
            <v>15</v>
          </cell>
          <cell r="AJ1600" t="str">
            <v>塩川</v>
          </cell>
          <cell r="AL1600" t="str">
            <v>福井第一水源</v>
          </cell>
          <cell r="AM1600">
            <v>2.2999999999999998</v>
          </cell>
          <cell r="AO1600" t="str">
            <v>米子市</v>
          </cell>
          <cell r="AQ1600" t="str">
            <v/>
          </cell>
          <cell r="AR1600" t="str">
            <v>オキシディションディッチ法</v>
          </cell>
          <cell r="AS1600" t="str">
            <v>3120201003</v>
          </cell>
          <cell r="AT1600" t="str">
            <v/>
          </cell>
          <cell r="AU1600" t="str">
            <v>10</v>
          </cell>
          <cell r="AV1600" t="str">
            <v>10</v>
          </cell>
          <cell r="AW1600">
            <v>0</v>
          </cell>
          <cell r="AX1600">
            <v>0</v>
          </cell>
          <cell r="AY1600">
            <v>0</v>
          </cell>
          <cell r="AZ1600">
            <v>0</v>
          </cell>
          <cell r="BA1600">
            <v>0</v>
          </cell>
          <cell r="BD1600" t="str">
            <v/>
          </cell>
          <cell r="BE1600">
            <v>1</v>
          </cell>
          <cell r="BG1600" t="str">
            <v>1100</v>
          </cell>
        </row>
        <row r="1601">
          <cell r="B1601" t="str">
            <v>G312040106100100</v>
          </cell>
          <cell r="C1601" t="str">
            <v>31.鳥取県</v>
          </cell>
          <cell r="D1601" t="str">
            <v>204</v>
          </cell>
          <cell r="E1601" t="str">
            <v>境港市</v>
          </cell>
          <cell r="F1601" t="str">
            <v>01</v>
          </cell>
          <cell r="G1601" t="str">
            <v>公共 単独</v>
          </cell>
          <cell r="H1601" t="str">
            <v>公共下水道</v>
          </cell>
          <cell r="I1601" t="str">
            <v>単独</v>
          </cell>
          <cell r="J1601" t="str">
            <v>001</v>
          </cell>
          <cell r="K1601" t="str">
            <v>境港市下水道センター</v>
          </cell>
          <cell r="M1601" t="str">
            <v>1</v>
          </cell>
          <cell r="N1601" t="str">
            <v>1</v>
          </cell>
          <cell r="Q1601">
            <v>32964</v>
          </cell>
          <cell r="R1601" t="str">
            <v>平成</v>
          </cell>
          <cell r="S1601">
            <v>2</v>
          </cell>
          <cell r="T1601">
            <v>4</v>
          </cell>
          <cell r="AB1601">
            <v>81800</v>
          </cell>
          <cell r="AC1601" t="str">
            <v>美保湾</v>
          </cell>
          <cell r="AD1601" t="str">
            <v>Ａ</v>
          </cell>
          <cell r="AE1601" t="str">
            <v>ロ</v>
          </cell>
          <cell r="AF1601">
            <v>15</v>
          </cell>
          <cell r="AI1601" t="str">
            <v>美保湾</v>
          </cell>
          <cell r="AQ1601" t="str">
            <v/>
          </cell>
          <cell r="AR1601" t="str">
            <v>標準活性汚泥法</v>
          </cell>
          <cell r="AS1601" t="str">
            <v>3120401001</v>
          </cell>
          <cell r="AT1601" t="str">
            <v/>
          </cell>
          <cell r="AU1601" t="str">
            <v>10</v>
          </cell>
          <cell r="AV1601" t="str">
            <v>10</v>
          </cell>
          <cell r="AW1601">
            <v>0</v>
          </cell>
          <cell r="AX1601">
            <v>0</v>
          </cell>
          <cell r="AY1601">
            <v>0</v>
          </cell>
          <cell r="AZ1601">
            <v>0</v>
          </cell>
          <cell r="BA1601">
            <v>0</v>
          </cell>
          <cell r="BD1601" t="str">
            <v/>
          </cell>
          <cell r="BE1601">
            <v>1</v>
          </cell>
          <cell r="BG1601" t="str">
            <v>1100</v>
          </cell>
        </row>
        <row r="1602">
          <cell r="B1602" t="str">
            <v>G313020106100100</v>
          </cell>
          <cell r="C1602" t="str">
            <v>31.鳥取県</v>
          </cell>
          <cell r="D1602" t="str">
            <v>302</v>
          </cell>
          <cell r="E1602" t="str">
            <v>岩美町</v>
          </cell>
          <cell r="F1602" t="str">
            <v>01</v>
          </cell>
          <cell r="G1602" t="str">
            <v>公共 単独</v>
          </cell>
          <cell r="H1602" t="str">
            <v>公共下水道</v>
          </cell>
          <cell r="I1602" t="str">
            <v>単独</v>
          </cell>
          <cell r="J1602" t="str">
            <v>001</v>
          </cell>
          <cell r="K1602" t="str">
            <v>大谷浄化センター</v>
          </cell>
          <cell r="M1602" t="str">
            <v>1</v>
          </cell>
          <cell r="N1602" t="str">
            <v>1</v>
          </cell>
          <cell r="Q1602">
            <v>34790</v>
          </cell>
          <cell r="R1602" t="str">
            <v>平成</v>
          </cell>
          <cell r="S1602">
            <v>7</v>
          </cell>
          <cell r="T1602">
            <v>4</v>
          </cell>
          <cell r="AB1602">
            <v>8000</v>
          </cell>
          <cell r="AC1602" t="str">
            <v>設定なし</v>
          </cell>
          <cell r="AF1602">
            <v>15</v>
          </cell>
          <cell r="AJ1602" t="str">
            <v>蒲生川</v>
          </cell>
          <cell r="AL1602" t="str">
            <v>広域簡易水道水源</v>
          </cell>
          <cell r="AM1602">
            <v>5.2</v>
          </cell>
          <cell r="AQ1602" t="str">
            <v/>
          </cell>
          <cell r="AR1602" t="str">
            <v>オキシディションディッチ法</v>
          </cell>
          <cell r="AS1602" t="str">
            <v>3130201001</v>
          </cell>
          <cell r="AT1602" t="str">
            <v/>
          </cell>
          <cell r="AU1602" t="str">
            <v>10</v>
          </cell>
          <cell r="AV1602" t="str">
            <v>10</v>
          </cell>
          <cell r="AW1602">
            <v>0</v>
          </cell>
          <cell r="AX1602">
            <v>0</v>
          </cell>
          <cell r="AY1602">
            <v>0</v>
          </cell>
          <cell r="AZ1602">
            <v>0</v>
          </cell>
          <cell r="BA1602">
            <v>0</v>
          </cell>
          <cell r="BD1602" t="str">
            <v/>
          </cell>
          <cell r="BE1602">
            <v>1</v>
          </cell>
          <cell r="BG1602" t="str">
            <v>1100</v>
          </cell>
        </row>
        <row r="1603">
          <cell r="B1603" t="str">
            <v>G313020106100200</v>
          </cell>
          <cell r="C1603" t="str">
            <v>31.鳥取県</v>
          </cell>
          <cell r="D1603" t="str">
            <v>302</v>
          </cell>
          <cell r="E1603" t="str">
            <v>岩美町</v>
          </cell>
          <cell r="F1603" t="str">
            <v>01</v>
          </cell>
          <cell r="G1603" t="str">
            <v>公共 単独</v>
          </cell>
          <cell r="H1603" t="str">
            <v>公共下水道</v>
          </cell>
          <cell r="I1603" t="str">
            <v>単独</v>
          </cell>
          <cell r="J1603" t="str">
            <v>002</v>
          </cell>
          <cell r="K1603" t="str">
            <v>浦富浄化センター</v>
          </cell>
          <cell r="M1603" t="str">
            <v>1</v>
          </cell>
          <cell r="N1603" t="str">
            <v>1</v>
          </cell>
          <cell r="Q1603">
            <v>38047</v>
          </cell>
          <cell r="R1603" t="str">
            <v>平成</v>
          </cell>
          <cell r="S1603">
            <v>16</v>
          </cell>
          <cell r="T1603">
            <v>3</v>
          </cell>
          <cell r="AB1603">
            <v>10000</v>
          </cell>
          <cell r="AC1603" t="str">
            <v>設定なし</v>
          </cell>
          <cell r="AF1603">
            <v>15</v>
          </cell>
          <cell r="AJ1603" t="str">
            <v>吉田川</v>
          </cell>
          <cell r="AL1603" t="str">
            <v>広域簡易水道水源</v>
          </cell>
          <cell r="AM1603">
            <v>2.1</v>
          </cell>
          <cell r="AQ1603" t="str">
            <v/>
          </cell>
          <cell r="AR1603" t="str">
            <v>オキシディションディッチ法</v>
          </cell>
          <cell r="AS1603" t="str">
            <v>3130201002</v>
          </cell>
          <cell r="AT1603" t="str">
            <v/>
          </cell>
          <cell r="AU1603" t="str">
            <v>10</v>
          </cell>
          <cell r="AV1603" t="str">
            <v>10</v>
          </cell>
          <cell r="AW1603">
            <v>0</v>
          </cell>
          <cell r="AX1603">
            <v>0</v>
          </cell>
          <cell r="AY1603">
            <v>0</v>
          </cell>
          <cell r="AZ1603">
            <v>0</v>
          </cell>
          <cell r="BA1603">
            <v>0</v>
          </cell>
          <cell r="BD1603" t="str">
            <v/>
          </cell>
          <cell r="BE1603">
            <v>1</v>
          </cell>
          <cell r="BG1603" t="str">
            <v>1100</v>
          </cell>
        </row>
        <row r="1604">
          <cell r="B1604" t="str">
            <v>G313250206100100</v>
          </cell>
          <cell r="C1604" t="str">
            <v>31.鳥取県</v>
          </cell>
          <cell r="D1604" t="str">
            <v>325</v>
          </cell>
          <cell r="E1604" t="str">
            <v>若桜町</v>
          </cell>
          <cell r="F1604" t="str">
            <v>02</v>
          </cell>
          <cell r="G1604" t="str">
            <v>特環 単独</v>
          </cell>
          <cell r="H1604" t="str">
            <v>特定環境保全公共下水道</v>
          </cell>
          <cell r="I1604" t="str">
            <v>単独</v>
          </cell>
          <cell r="J1604" t="str">
            <v>001</v>
          </cell>
          <cell r="K1604" t="str">
            <v>若桜浄化センター</v>
          </cell>
          <cell r="M1604" t="str">
            <v>1</v>
          </cell>
          <cell r="N1604" t="str">
            <v>1</v>
          </cell>
          <cell r="Q1604">
            <v>35886</v>
          </cell>
          <cell r="R1604" t="str">
            <v>平成</v>
          </cell>
          <cell r="S1604">
            <v>10</v>
          </cell>
          <cell r="T1604">
            <v>4</v>
          </cell>
          <cell r="AB1604">
            <v>5340</v>
          </cell>
          <cell r="AC1604" t="str">
            <v>千代川</v>
          </cell>
          <cell r="AD1604" t="str">
            <v>ＡＡ</v>
          </cell>
          <cell r="AF1604">
            <v>15</v>
          </cell>
          <cell r="AK1604" t="str">
            <v>八東川</v>
          </cell>
          <cell r="AL1604" t="str">
            <v>叶</v>
          </cell>
          <cell r="AN1604">
            <v>26</v>
          </cell>
          <cell r="AO1604" t="str">
            <v>鳥取市</v>
          </cell>
          <cell r="AQ1604" t="str">
            <v/>
          </cell>
          <cell r="AR1604" t="str">
            <v>オキシディションディッチ法</v>
          </cell>
          <cell r="AS1604" t="str">
            <v>3132502001</v>
          </cell>
          <cell r="AT1604" t="str">
            <v/>
          </cell>
          <cell r="AU1604" t="str">
            <v>10</v>
          </cell>
          <cell r="AV1604" t="str">
            <v>10</v>
          </cell>
          <cell r="AW1604">
            <v>0</v>
          </cell>
          <cell r="AX1604">
            <v>0</v>
          </cell>
          <cell r="AY1604">
            <v>0</v>
          </cell>
          <cell r="AZ1604">
            <v>0</v>
          </cell>
          <cell r="BA1604">
            <v>0</v>
          </cell>
          <cell r="BD1604" t="str">
            <v/>
          </cell>
          <cell r="BE1604">
            <v>1</v>
          </cell>
          <cell r="BG1604" t="str">
            <v>1100</v>
          </cell>
        </row>
        <row r="1605">
          <cell r="B1605" t="str">
            <v>G313250206100200</v>
          </cell>
          <cell r="C1605" t="str">
            <v>31.鳥取県</v>
          </cell>
          <cell r="D1605" t="str">
            <v>325</v>
          </cell>
          <cell r="E1605" t="str">
            <v>若桜町</v>
          </cell>
          <cell r="F1605" t="str">
            <v>02</v>
          </cell>
          <cell r="G1605" t="str">
            <v>特環 単独</v>
          </cell>
          <cell r="H1605" t="str">
            <v>特定環境保全公共下水道</v>
          </cell>
          <cell r="I1605" t="str">
            <v>単独</v>
          </cell>
          <cell r="J1605" t="str">
            <v>002</v>
          </cell>
          <cell r="K1605" t="str">
            <v>つく米浄化センター</v>
          </cell>
          <cell r="M1605" t="str">
            <v>1</v>
          </cell>
          <cell r="P1605" t="str">
            <v>1</v>
          </cell>
          <cell r="Q1605">
            <v>38473</v>
          </cell>
          <cell r="R1605" t="str">
            <v>平成</v>
          </cell>
          <cell r="S1605">
            <v>17</v>
          </cell>
          <cell r="T1605">
            <v>5</v>
          </cell>
          <cell r="AB1605">
            <v>1000</v>
          </cell>
          <cell r="AF1605">
            <v>15</v>
          </cell>
          <cell r="AI1605" t="str">
            <v>つく米川</v>
          </cell>
          <cell r="AK1605" t="str">
            <v>八東川</v>
          </cell>
          <cell r="AL1605" t="str">
            <v>叶</v>
          </cell>
          <cell r="AN1605">
            <v>34</v>
          </cell>
          <cell r="AO1605" t="str">
            <v>鳥取市</v>
          </cell>
          <cell r="AQ1605" t="str">
            <v/>
          </cell>
          <cell r="AR1605" t="str">
            <v>好気性ろ床法</v>
          </cell>
          <cell r="AS1605" t="str">
            <v>3132502002</v>
          </cell>
          <cell r="AT1605" t="str">
            <v/>
          </cell>
          <cell r="AU1605" t="str">
            <v>00</v>
          </cell>
          <cell r="AV1605" t="str">
            <v>00</v>
          </cell>
          <cell r="AW1605">
            <v>1</v>
          </cell>
          <cell r="AX1605">
            <v>0</v>
          </cell>
          <cell r="AY1605">
            <v>0</v>
          </cell>
          <cell r="AZ1605">
            <v>0</v>
          </cell>
          <cell r="BA1605">
            <v>0</v>
          </cell>
          <cell r="BD1605" t="str">
            <v/>
          </cell>
          <cell r="BE1605">
            <v>1</v>
          </cell>
          <cell r="BG1605" t="str">
            <v>1001</v>
          </cell>
        </row>
        <row r="1606">
          <cell r="B1606" t="str">
            <v>G313280206100100</v>
          </cell>
          <cell r="C1606" t="str">
            <v>31.鳥取県</v>
          </cell>
          <cell r="D1606" t="str">
            <v>328</v>
          </cell>
          <cell r="E1606" t="str">
            <v>智頭町</v>
          </cell>
          <cell r="F1606" t="str">
            <v>02</v>
          </cell>
          <cell r="G1606" t="str">
            <v>特環 単独</v>
          </cell>
          <cell r="H1606" t="str">
            <v>特定環境保全公共下水道</v>
          </cell>
          <cell r="I1606" t="str">
            <v>単独</v>
          </cell>
          <cell r="J1606" t="str">
            <v>001</v>
          </cell>
          <cell r="K1606" t="str">
            <v>智頭浄化センター</v>
          </cell>
          <cell r="M1606" t="str">
            <v>1</v>
          </cell>
          <cell r="N1606" t="str">
            <v>1</v>
          </cell>
          <cell r="Q1606">
            <v>36617</v>
          </cell>
          <cell r="R1606" t="str">
            <v>平成</v>
          </cell>
          <cell r="S1606">
            <v>12</v>
          </cell>
          <cell r="T1606">
            <v>4</v>
          </cell>
          <cell r="AB1606">
            <v>7000</v>
          </cell>
          <cell r="AC1606" t="str">
            <v>千代川</v>
          </cell>
          <cell r="AD1606" t="str">
            <v>ＡＡ</v>
          </cell>
          <cell r="AF1606">
            <v>20</v>
          </cell>
          <cell r="AK1606" t="str">
            <v>千代川</v>
          </cell>
          <cell r="AM1606">
            <v>1</v>
          </cell>
          <cell r="AQ1606" t="str">
            <v/>
          </cell>
          <cell r="AR1606" t="str">
            <v>オキシディションディッチ法</v>
          </cell>
          <cell r="AS1606" t="str">
            <v>3132802001</v>
          </cell>
          <cell r="AT1606" t="str">
            <v/>
          </cell>
          <cell r="AU1606" t="str">
            <v>10</v>
          </cell>
          <cell r="AV1606" t="str">
            <v>10</v>
          </cell>
          <cell r="AW1606">
            <v>0</v>
          </cell>
          <cell r="AX1606">
            <v>0</v>
          </cell>
          <cell r="AY1606">
            <v>0</v>
          </cell>
          <cell r="AZ1606">
            <v>0</v>
          </cell>
          <cell r="BA1606">
            <v>0</v>
          </cell>
          <cell r="BD1606" t="str">
            <v/>
          </cell>
          <cell r="BE1606">
            <v>1</v>
          </cell>
          <cell r="BG1606" t="str">
            <v>1100</v>
          </cell>
        </row>
        <row r="1607">
          <cell r="B1607" t="str">
            <v>G313290106100100</v>
          </cell>
          <cell r="C1607" t="str">
            <v>31.鳥取県</v>
          </cell>
          <cell r="D1607" t="str">
            <v>329</v>
          </cell>
          <cell r="E1607" t="str">
            <v>八頭町</v>
          </cell>
          <cell r="F1607" t="str">
            <v>01</v>
          </cell>
          <cell r="G1607" t="str">
            <v>公共 単独</v>
          </cell>
          <cell r="H1607" t="str">
            <v>公共下水道</v>
          </cell>
          <cell r="I1607" t="str">
            <v>単独</v>
          </cell>
          <cell r="J1607" t="str">
            <v>001</v>
          </cell>
          <cell r="K1607" t="str">
            <v>郡家浄化センター</v>
          </cell>
          <cell r="M1607" t="str">
            <v>1</v>
          </cell>
          <cell r="N1607" t="str">
            <v>1</v>
          </cell>
          <cell r="Q1607">
            <v>34790</v>
          </cell>
          <cell r="R1607" t="str">
            <v>平成</v>
          </cell>
          <cell r="S1607">
            <v>7</v>
          </cell>
          <cell r="T1607">
            <v>4</v>
          </cell>
          <cell r="AB1607">
            <v>12700</v>
          </cell>
          <cell r="AC1607" t="str">
            <v>千代川水系</v>
          </cell>
          <cell r="AD1607" t="str">
            <v>ＡＡ</v>
          </cell>
          <cell r="AE1607" t="str">
            <v>イ</v>
          </cell>
          <cell r="AF1607">
            <v>15</v>
          </cell>
          <cell r="AK1607" t="str">
            <v>私都川</v>
          </cell>
          <cell r="AQ1607" t="str">
            <v/>
          </cell>
          <cell r="AR1607" t="str">
            <v>オキシディションディッチ法</v>
          </cell>
          <cell r="AS1607" t="str">
            <v>3132901001</v>
          </cell>
          <cell r="AT1607" t="str">
            <v/>
          </cell>
          <cell r="AU1607" t="str">
            <v>10</v>
          </cell>
          <cell r="AV1607" t="str">
            <v>10</v>
          </cell>
          <cell r="AW1607">
            <v>0</v>
          </cell>
          <cell r="AX1607">
            <v>0</v>
          </cell>
          <cell r="AY1607">
            <v>0</v>
          </cell>
          <cell r="AZ1607">
            <v>0</v>
          </cell>
          <cell r="BA1607">
            <v>0</v>
          </cell>
          <cell r="BD1607" t="str">
            <v/>
          </cell>
          <cell r="BE1607">
            <v>1</v>
          </cell>
          <cell r="BG1607" t="str">
            <v>1100</v>
          </cell>
        </row>
        <row r="1608">
          <cell r="B1608" t="str">
            <v>G313290206100200</v>
          </cell>
          <cell r="C1608" t="str">
            <v>31.鳥取県</v>
          </cell>
          <cell r="D1608" t="str">
            <v>329</v>
          </cell>
          <cell r="E1608" t="str">
            <v>八頭町</v>
          </cell>
          <cell r="F1608" t="str">
            <v>02</v>
          </cell>
          <cell r="G1608" t="str">
            <v>特環 単独</v>
          </cell>
          <cell r="H1608" t="str">
            <v>特定環境保全公共下水道</v>
          </cell>
          <cell r="I1608" t="str">
            <v>単独</v>
          </cell>
          <cell r="J1608" t="str">
            <v>002</v>
          </cell>
          <cell r="K1608" t="str">
            <v>丹比中央浄化センター</v>
          </cell>
          <cell r="M1608" t="str">
            <v>1</v>
          </cell>
          <cell r="N1608" t="str">
            <v>1</v>
          </cell>
          <cell r="Q1608">
            <v>35886</v>
          </cell>
          <cell r="R1608" t="str">
            <v>平成</v>
          </cell>
          <cell r="S1608">
            <v>10</v>
          </cell>
          <cell r="T1608">
            <v>4</v>
          </cell>
          <cell r="AB1608">
            <v>4392</v>
          </cell>
          <cell r="AC1608" t="str">
            <v>千代川水系</v>
          </cell>
          <cell r="AD1608" t="str">
            <v>ＡＡ</v>
          </cell>
          <cell r="AE1608" t="str">
            <v>イ</v>
          </cell>
          <cell r="AF1608">
            <v>15</v>
          </cell>
          <cell r="AK1608" t="str">
            <v>八東川</v>
          </cell>
          <cell r="AQ1608" t="str">
            <v/>
          </cell>
          <cell r="AR1608" t="str">
            <v>オキシディションディッチ法</v>
          </cell>
          <cell r="AS1608" t="str">
            <v>3132902002</v>
          </cell>
          <cell r="AT1608" t="str">
            <v/>
          </cell>
          <cell r="AU1608" t="str">
            <v>10</v>
          </cell>
          <cell r="AV1608" t="str">
            <v>10</v>
          </cell>
          <cell r="AW1608">
            <v>0</v>
          </cell>
          <cell r="AX1608">
            <v>0</v>
          </cell>
          <cell r="AY1608">
            <v>0</v>
          </cell>
          <cell r="AZ1608">
            <v>0</v>
          </cell>
          <cell r="BA1608">
            <v>0</v>
          </cell>
          <cell r="BD1608" t="str">
            <v/>
          </cell>
          <cell r="BE1608">
            <v>1</v>
          </cell>
          <cell r="BG1608" t="str">
            <v>1100</v>
          </cell>
        </row>
        <row r="1609">
          <cell r="B1609" t="str">
            <v>G313700206100100</v>
          </cell>
          <cell r="C1609" t="str">
            <v>31.鳥取県</v>
          </cell>
          <cell r="D1609" t="str">
            <v>370</v>
          </cell>
          <cell r="E1609" t="str">
            <v>湯梨浜町</v>
          </cell>
          <cell r="F1609" t="str">
            <v>02</v>
          </cell>
          <cell r="G1609" t="str">
            <v>特環 単独</v>
          </cell>
          <cell r="H1609" t="str">
            <v>特定環境保全公共下水道</v>
          </cell>
          <cell r="I1609" t="str">
            <v>単独</v>
          </cell>
          <cell r="J1609" t="str">
            <v>001</v>
          </cell>
          <cell r="K1609" t="str">
            <v>泊浄化センター</v>
          </cell>
          <cell r="M1609" t="str">
            <v>1</v>
          </cell>
          <cell r="N1609" t="str">
            <v>1</v>
          </cell>
          <cell r="Q1609">
            <v>35521</v>
          </cell>
          <cell r="R1609" t="str">
            <v>平成</v>
          </cell>
          <cell r="S1609">
            <v>9</v>
          </cell>
          <cell r="T1609">
            <v>4</v>
          </cell>
          <cell r="AB1609">
            <v>4578</v>
          </cell>
          <cell r="AC1609" t="str">
            <v>設定なし</v>
          </cell>
          <cell r="AF1609">
            <v>15</v>
          </cell>
          <cell r="AI1609" t="str">
            <v>日本海</v>
          </cell>
          <cell r="AQ1609" t="str">
            <v/>
          </cell>
          <cell r="AR1609" t="str">
            <v>オキシディションディッチ法</v>
          </cell>
          <cell r="AS1609" t="str">
            <v>3137002001</v>
          </cell>
          <cell r="AT1609" t="str">
            <v/>
          </cell>
          <cell r="AU1609" t="str">
            <v>10</v>
          </cell>
          <cell r="AV1609" t="str">
            <v>10</v>
          </cell>
          <cell r="AW1609">
            <v>0</v>
          </cell>
          <cell r="AX1609">
            <v>0</v>
          </cell>
          <cell r="AY1609">
            <v>0</v>
          </cell>
          <cell r="AZ1609">
            <v>0</v>
          </cell>
          <cell r="BA1609">
            <v>0</v>
          </cell>
          <cell r="BD1609" t="str">
            <v/>
          </cell>
          <cell r="BE1609">
            <v>1</v>
          </cell>
          <cell r="BG1609" t="str">
            <v>1100</v>
          </cell>
        </row>
        <row r="1610">
          <cell r="B1610" t="str">
            <v>G313710106100100</v>
          </cell>
          <cell r="C1610" t="str">
            <v>31.鳥取県</v>
          </cell>
          <cell r="D1610" t="str">
            <v>371</v>
          </cell>
          <cell r="E1610" t="str">
            <v>琴浦町</v>
          </cell>
          <cell r="F1610" t="str">
            <v>01</v>
          </cell>
          <cell r="G1610" t="str">
            <v>公共 単独</v>
          </cell>
          <cell r="H1610" t="str">
            <v>公共下水道</v>
          </cell>
          <cell r="I1610" t="str">
            <v>単独</v>
          </cell>
          <cell r="J1610" t="str">
            <v>001</v>
          </cell>
          <cell r="K1610" t="str">
            <v>東伯浄化センター</v>
          </cell>
          <cell r="M1610" t="str">
            <v>1</v>
          </cell>
          <cell r="N1610" t="str">
            <v>1</v>
          </cell>
          <cell r="Q1610">
            <v>37712</v>
          </cell>
          <cell r="R1610" t="str">
            <v>平成</v>
          </cell>
          <cell r="S1610">
            <v>15</v>
          </cell>
          <cell r="T1610">
            <v>4</v>
          </cell>
          <cell r="AB1610">
            <v>25500</v>
          </cell>
          <cell r="AC1610" t="str">
            <v>設定なし</v>
          </cell>
          <cell r="AF1610">
            <v>15</v>
          </cell>
          <cell r="AJ1610" t="str">
            <v>加勢蛇川</v>
          </cell>
          <cell r="AL1610" t="str">
            <v>該当なし</v>
          </cell>
          <cell r="AQ1610" t="str">
            <v/>
          </cell>
          <cell r="AR1610" t="str">
            <v>オキシディションディッチ法</v>
          </cell>
          <cell r="AS1610" t="str">
            <v>3137101001</v>
          </cell>
          <cell r="AT1610" t="str">
            <v/>
          </cell>
          <cell r="AU1610" t="str">
            <v>10</v>
          </cell>
          <cell r="AV1610" t="str">
            <v>10</v>
          </cell>
          <cell r="AW1610">
            <v>0</v>
          </cell>
          <cell r="AX1610">
            <v>0</v>
          </cell>
          <cell r="AY1610">
            <v>0</v>
          </cell>
          <cell r="AZ1610">
            <v>0</v>
          </cell>
          <cell r="BA1610">
            <v>0</v>
          </cell>
          <cell r="BD1610" t="str">
            <v/>
          </cell>
          <cell r="BE1610">
            <v>1</v>
          </cell>
          <cell r="BG1610" t="str">
            <v>1100</v>
          </cell>
        </row>
        <row r="1611">
          <cell r="B1611" t="str">
            <v>G313710206100200</v>
          </cell>
          <cell r="C1611" t="str">
            <v>31.鳥取県</v>
          </cell>
          <cell r="D1611" t="str">
            <v>371</v>
          </cell>
          <cell r="E1611" t="str">
            <v>琴浦町</v>
          </cell>
          <cell r="F1611" t="str">
            <v>02</v>
          </cell>
          <cell r="G1611" t="str">
            <v>特環 単独</v>
          </cell>
          <cell r="H1611" t="str">
            <v>特定環境保全公共下水道</v>
          </cell>
          <cell r="I1611" t="str">
            <v>単独</v>
          </cell>
          <cell r="J1611" t="str">
            <v>002</v>
          </cell>
          <cell r="K1611" t="str">
            <v>赤碕浄化センター</v>
          </cell>
          <cell r="M1611" t="str">
            <v>1</v>
          </cell>
          <cell r="N1611" t="str">
            <v>1</v>
          </cell>
          <cell r="Q1611">
            <v>37347</v>
          </cell>
          <cell r="R1611" t="str">
            <v>平成</v>
          </cell>
          <cell r="S1611">
            <v>14</v>
          </cell>
          <cell r="T1611">
            <v>4</v>
          </cell>
          <cell r="AB1611">
            <v>22200</v>
          </cell>
          <cell r="AC1611" t="str">
            <v>設定なし</v>
          </cell>
          <cell r="AF1611">
            <v>15</v>
          </cell>
          <cell r="AJ1611" t="str">
            <v>黒川</v>
          </cell>
          <cell r="AL1611" t="str">
            <v>該当なし</v>
          </cell>
          <cell r="AQ1611" t="str">
            <v/>
          </cell>
          <cell r="AR1611" t="str">
            <v>オキシディションディッチ法</v>
          </cell>
          <cell r="AS1611" t="str">
            <v>3137102002</v>
          </cell>
          <cell r="AT1611" t="str">
            <v/>
          </cell>
          <cell r="AU1611" t="str">
            <v>10</v>
          </cell>
          <cell r="AV1611" t="str">
            <v>10</v>
          </cell>
          <cell r="AW1611">
            <v>0</v>
          </cell>
          <cell r="AX1611">
            <v>0</v>
          </cell>
          <cell r="AY1611">
            <v>0</v>
          </cell>
          <cell r="AZ1611">
            <v>0</v>
          </cell>
          <cell r="BA1611">
            <v>0</v>
          </cell>
          <cell r="BD1611" t="str">
            <v/>
          </cell>
          <cell r="BE1611">
            <v>1</v>
          </cell>
          <cell r="BG1611" t="str">
            <v>1100</v>
          </cell>
        </row>
        <row r="1612">
          <cell r="B1612" t="str">
            <v>G313720206100100</v>
          </cell>
          <cell r="C1612" t="str">
            <v>31.鳥取県</v>
          </cell>
          <cell r="D1612" t="str">
            <v>372</v>
          </cell>
          <cell r="E1612" t="str">
            <v>北栄町</v>
          </cell>
          <cell r="F1612" t="str">
            <v>02</v>
          </cell>
          <cell r="G1612" t="str">
            <v>特環 単独</v>
          </cell>
          <cell r="H1612" t="str">
            <v>特定環境保全公共下水道</v>
          </cell>
          <cell r="I1612" t="str">
            <v>単独</v>
          </cell>
          <cell r="J1612" t="str">
            <v>001</v>
          </cell>
          <cell r="K1612" t="str">
            <v>大栄浄化センター</v>
          </cell>
          <cell r="M1612" t="str">
            <v>1</v>
          </cell>
          <cell r="N1612" t="str">
            <v>1</v>
          </cell>
          <cell r="Q1612">
            <v>35125</v>
          </cell>
          <cell r="R1612" t="str">
            <v>平成</v>
          </cell>
          <cell r="S1612">
            <v>8</v>
          </cell>
          <cell r="T1612">
            <v>3</v>
          </cell>
          <cell r="AB1612">
            <v>19100</v>
          </cell>
          <cell r="AF1612">
            <v>15</v>
          </cell>
          <cell r="AJ1612" t="str">
            <v>由良川</v>
          </cell>
          <cell r="AQ1612" t="str">
            <v/>
          </cell>
          <cell r="AR1612" t="str">
            <v>オキシディションディッチ法</v>
          </cell>
          <cell r="AS1612" t="str">
            <v>3137202001</v>
          </cell>
          <cell r="AT1612" t="str">
            <v/>
          </cell>
          <cell r="AU1612" t="str">
            <v>10</v>
          </cell>
          <cell r="AV1612" t="str">
            <v>10</v>
          </cell>
          <cell r="AW1612">
            <v>0</v>
          </cell>
          <cell r="AX1612">
            <v>0</v>
          </cell>
          <cell r="AY1612">
            <v>0</v>
          </cell>
          <cell r="AZ1612">
            <v>0</v>
          </cell>
          <cell r="BA1612">
            <v>0</v>
          </cell>
          <cell r="BD1612" t="str">
            <v/>
          </cell>
          <cell r="BE1612">
            <v>1</v>
          </cell>
          <cell r="BG1612" t="str">
            <v>1100</v>
          </cell>
        </row>
        <row r="1613">
          <cell r="B1613" t="str">
            <v>G313720206100200</v>
          </cell>
          <cell r="C1613" t="str">
            <v>31.鳥取県</v>
          </cell>
          <cell r="D1613" t="str">
            <v>372</v>
          </cell>
          <cell r="E1613" t="str">
            <v>北栄町</v>
          </cell>
          <cell r="F1613" t="str">
            <v>02</v>
          </cell>
          <cell r="G1613" t="str">
            <v>特環 単独</v>
          </cell>
          <cell r="H1613" t="str">
            <v>特定環境保全公共下水道</v>
          </cell>
          <cell r="I1613" t="str">
            <v>単独</v>
          </cell>
          <cell r="J1613" t="str">
            <v>002</v>
          </cell>
          <cell r="K1613" t="str">
            <v>北条下水道管理センター</v>
          </cell>
          <cell r="M1613" t="str">
            <v>1</v>
          </cell>
          <cell r="N1613" t="str">
            <v>1</v>
          </cell>
          <cell r="Q1613">
            <v>36617</v>
          </cell>
          <cell r="R1613" t="str">
            <v>平成</v>
          </cell>
          <cell r="S1613">
            <v>12</v>
          </cell>
          <cell r="T1613">
            <v>4</v>
          </cell>
          <cell r="AB1613">
            <v>15580</v>
          </cell>
          <cell r="AF1613">
            <v>15</v>
          </cell>
          <cell r="AJ1613" t="str">
            <v>北条川放水路</v>
          </cell>
          <cell r="AQ1613" t="str">
            <v/>
          </cell>
          <cell r="AR1613" t="str">
            <v>オキシディションディッチ法</v>
          </cell>
          <cell r="AS1613" t="str">
            <v>3137202002</v>
          </cell>
          <cell r="AT1613" t="str">
            <v/>
          </cell>
          <cell r="AU1613" t="str">
            <v>10</v>
          </cell>
          <cell r="AV1613" t="str">
            <v>10</v>
          </cell>
          <cell r="AW1613">
            <v>0</v>
          </cell>
          <cell r="AX1613">
            <v>0</v>
          </cell>
          <cell r="AY1613">
            <v>0</v>
          </cell>
          <cell r="AZ1613">
            <v>0</v>
          </cell>
          <cell r="BA1613">
            <v>0</v>
          </cell>
          <cell r="BD1613" t="str">
            <v/>
          </cell>
          <cell r="BE1613">
            <v>1</v>
          </cell>
          <cell r="BG1613" t="str">
            <v>1100</v>
          </cell>
        </row>
        <row r="1614">
          <cell r="B1614" t="str">
            <v>G313840106100100</v>
          </cell>
          <cell r="C1614" t="str">
            <v>31.鳥取県</v>
          </cell>
          <cell r="D1614" t="str">
            <v>384</v>
          </cell>
          <cell r="E1614" t="str">
            <v>日吉津村</v>
          </cell>
          <cell r="F1614" t="str">
            <v>01</v>
          </cell>
          <cell r="G1614" t="str">
            <v>公共 単独</v>
          </cell>
          <cell r="H1614" t="str">
            <v>公共下水道</v>
          </cell>
          <cell r="I1614" t="str">
            <v>単独</v>
          </cell>
          <cell r="J1614" t="str">
            <v>001</v>
          </cell>
          <cell r="K1614" t="str">
            <v>ひえづ浄水センター</v>
          </cell>
          <cell r="M1614" t="str">
            <v>1</v>
          </cell>
          <cell r="N1614" t="str">
            <v>1</v>
          </cell>
          <cell r="Q1614">
            <v>31959</v>
          </cell>
          <cell r="R1614" t="str">
            <v>昭和</v>
          </cell>
          <cell r="S1614">
            <v>62</v>
          </cell>
          <cell r="T1614">
            <v>7</v>
          </cell>
          <cell r="AB1614">
            <v>10600</v>
          </cell>
          <cell r="AC1614" t="str">
            <v>美保湾（乙）</v>
          </cell>
          <cell r="AD1614" t="str">
            <v>Ａ</v>
          </cell>
          <cell r="AE1614" t="str">
            <v>ロ</v>
          </cell>
          <cell r="AF1614">
            <v>15</v>
          </cell>
          <cell r="AI1614" t="str">
            <v>海川排水路</v>
          </cell>
          <cell r="AQ1614" t="str">
            <v/>
          </cell>
          <cell r="AR1614" t="str">
            <v>オキシディションディッチ法</v>
          </cell>
          <cell r="AS1614" t="str">
            <v>3138401001</v>
          </cell>
          <cell r="AT1614" t="str">
            <v/>
          </cell>
          <cell r="AU1614" t="str">
            <v>10</v>
          </cell>
          <cell r="AV1614" t="str">
            <v>10</v>
          </cell>
          <cell r="AW1614">
            <v>0</v>
          </cell>
          <cell r="AX1614">
            <v>0</v>
          </cell>
          <cell r="AY1614">
            <v>0</v>
          </cell>
          <cell r="AZ1614">
            <v>0</v>
          </cell>
          <cell r="BA1614">
            <v>0</v>
          </cell>
          <cell r="BD1614" t="str">
            <v/>
          </cell>
          <cell r="BE1614">
            <v>1</v>
          </cell>
          <cell r="BG1614" t="str">
            <v>1100</v>
          </cell>
        </row>
        <row r="1615">
          <cell r="B1615" t="str">
            <v>G313860206100100</v>
          </cell>
          <cell r="C1615" t="str">
            <v>31.鳥取県</v>
          </cell>
          <cell r="D1615" t="str">
            <v>386</v>
          </cell>
          <cell r="E1615" t="str">
            <v>大山町</v>
          </cell>
          <cell r="F1615" t="str">
            <v>02</v>
          </cell>
          <cell r="G1615" t="str">
            <v>特環 単独</v>
          </cell>
          <cell r="H1615" t="str">
            <v>特定環境保全公共下水道</v>
          </cell>
          <cell r="I1615" t="str">
            <v>単独</v>
          </cell>
          <cell r="J1615" t="str">
            <v>001</v>
          </cell>
          <cell r="K1615" t="str">
            <v>大山浄化センター</v>
          </cell>
          <cell r="M1615" t="str">
            <v>1</v>
          </cell>
          <cell r="N1615" t="str">
            <v>1</v>
          </cell>
          <cell r="Q1615">
            <v>32203</v>
          </cell>
          <cell r="R1615" t="str">
            <v>昭和</v>
          </cell>
          <cell r="S1615">
            <v>63</v>
          </cell>
          <cell r="T1615">
            <v>3</v>
          </cell>
          <cell r="AB1615">
            <v>16239</v>
          </cell>
          <cell r="AF1615">
            <v>15</v>
          </cell>
          <cell r="AJ1615" t="str">
            <v>精進川</v>
          </cell>
          <cell r="AQ1615" t="str">
            <v/>
          </cell>
          <cell r="AR1615" t="str">
            <v>オキシディションディッチ法</v>
          </cell>
          <cell r="AS1615" t="str">
            <v>3138602001</v>
          </cell>
          <cell r="AT1615" t="str">
            <v/>
          </cell>
          <cell r="AU1615" t="str">
            <v>10</v>
          </cell>
          <cell r="AV1615" t="str">
            <v>10</v>
          </cell>
          <cell r="AW1615">
            <v>0</v>
          </cell>
          <cell r="AX1615">
            <v>0</v>
          </cell>
          <cell r="AY1615">
            <v>0</v>
          </cell>
          <cell r="AZ1615">
            <v>0</v>
          </cell>
          <cell r="BA1615">
            <v>0</v>
          </cell>
          <cell r="BD1615" t="str">
            <v/>
          </cell>
          <cell r="BE1615">
            <v>1</v>
          </cell>
          <cell r="BG1615" t="str">
            <v>1100</v>
          </cell>
        </row>
        <row r="1616">
          <cell r="B1616" t="str">
            <v>G313860206100200</v>
          </cell>
          <cell r="C1616" t="str">
            <v>31.鳥取県</v>
          </cell>
          <cell r="D1616" t="str">
            <v>386</v>
          </cell>
          <cell r="E1616" t="str">
            <v>大山町</v>
          </cell>
          <cell r="F1616" t="str">
            <v>02</v>
          </cell>
          <cell r="G1616" t="str">
            <v>特環 単独</v>
          </cell>
          <cell r="H1616" t="str">
            <v>特定環境保全公共下水道</v>
          </cell>
          <cell r="I1616" t="str">
            <v>単独</v>
          </cell>
          <cell r="J1616" t="str">
            <v>002</v>
          </cell>
          <cell r="K1616" t="str">
            <v>逢坂浄化センター</v>
          </cell>
          <cell r="M1616" t="str">
            <v>1</v>
          </cell>
          <cell r="N1616" t="str">
            <v>1</v>
          </cell>
          <cell r="Q1616">
            <v>35521</v>
          </cell>
          <cell r="R1616" t="str">
            <v>平成</v>
          </cell>
          <cell r="S1616">
            <v>9</v>
          </cell>
          <cell r="T1616">
            <v>4</v>
          </cell>
          <cell r="AB1616">
            <v>6222</v>
          </cell>
          <cell r="AF1616">
            <v>15</v>
          </cell>
          <cell r="AI1616" t="str">
            <v>農業排水路</v>
          </cell>
          <cell r="AQ1616" t="str">
            <v/>
          </cell>
          <cell r="AR1616" t="str">
            <v>オキシディションディッチ法</v>
          </cell>
          <cell r="AS1616" t="str">
            <v>3138602002</v>
          </cell>
          <cell r="AT1616" t="str">
            <v/>
          </cell>
          <cell r="AU1616" t="str">
            <v>10</v>
          </cell>
          <cell r="AV1616" t="str">
            <v>10</v>
          </cell>
          <cell r="AW1616">
            <v>0</v>
          </cell>
          <cell r="AX1616">
            <v>0</v>
          </cell>
          <cell r="AY1616">
            <v>0</v>
          </cell>
          <cell r="AZ1616">
            <v>0</v>
          </cell>
          <cell r="BA1616">
            <v>0</v>
          </cell>
          <cell r="BD1616" t="str">
            <v/>
          </cell>
          <cell r="BE1616">
            <v>1</v>
          </cell>
          <cell r="BG1616" t="str">
            <v>1100</v>
          </cell>
        </row>
        <row r="1617">
          <cell r="B1617" t="str">
            <v>G313860206100300</v>
          </cell>
          <cell r="C1617" t="str">
            <v>31.鳥取県</v>
          </cell>
          <cell r="D1617" t="str">
            <v>386</v>
          </cell>
          <cell r="E1617" t="str">
            <v>大山町</v>
          </cell>
          <cell r="F1617" t="str">
            <v>02</v>
          </cell>
          <cell r="G1617" t="str">
            <v>特環 単独</v>
          </cell>
          <cell r="H1617" t="str">
            <v>特定環境保全公共下水道</v>
          </cell>
          <cell r="I1617" t="str">
            <v>単独</v>
          </cell>
          <cell r="J1617" t="str">
            <v>003</v>
          </cell>
          <cell r="K1617" t="str">
            <v>中高所子浄化センター</v>
          </cell>
          <cell r="M1617" t="str">
            <v>1</v>
          </cell>
          <cell r="N1617" t="str">
            <v>1</v>
          </cell>
          <cell r="Q1617">
            <v>36434</v>
          </cell>
          <cell r="R1617" t="str">
            <v>平成</v>
          </cell>
          <cell r="S1617">
            <v>11</v>
          </cell>
          <cell r="T1617">
            <v>10</v>
          </cell>
          <cell r="AB1617">
            <v>3800</v>
          </cell>
          <cell r="AF1617">
            <v>15</v>
          </cell>
          <cell r="AJ1617" t="str">
            <v>阿弥陀川</v>
          </cell>
          <cell r="AQ1617" t="str">
            <v/>
          </cell>
          <cell r="AR1617" t="str">
            <v>オキシディションディッチ法</v>
          </cell>
          <cell r="AS1617" t="str">
            <v>3138602003</v>
          </cell>
          <cell r="AT1617" t="str">
            <v/>
          </cell>
          <cell r="AU1617" t="str">
            <v>10</v>
          </cell>
          <cell r="AV1617" t="str">
            <v>10</v>
          </cell>
          <cell r="AW1617">
            <v>0</v>
          </cell>
          <cell r="AX1617">
            <v>0</v>
          </cell>
          <cell r="AY1617">
            <v>0</v>
          </cell>
          <cell r="AZ1617">
            <v>0</v>
          </cell>
          <cell r="BA1617">
            <v>0</v>
          </cell>
          <cell r="BD1617" t="str">
            <v/>
          </cell>
          <cell r="BE1617">
            <v>1</v>
          </cell>
          <cell r="BG1617" t="str">
            <v>1100</v>
          </cell>
        </row>
        <row r="1618">
          <cell r="B1618" t="str">
            <v>G313860206100400</v>
          </cell>
          <cell r="C1618" t="str">
            <v>31.鳥取県</v>
          </cell>
          <cell r="D1618" t="str">
            <v>386</v>
          </cell>
          <cell r="E1618" t="str">
            <v>大山町</v>
          </cell>
          <cell r="F1618" t="str">
            <v>02</v>
          </cell>
          <cell r="G1618" t="str">
            <v>特環 単独</v>
          </cell>
          <cell r="H1618" t="str">
            <v>特定環境保全公共下水道</v>
          </cell>
          <cell r="I1618" t="str">
            <v>単独</v>
          </cell>
          <cell r="J1618" t="str">
            <v>004</v>
          </cell>
          <cell r="K1618" t="str">
            <v>名和浄化センター</v>
          </cell>
          <cell r="M1618" t="str">
            <v>1</v>
          </cell>
          <cell r="N1618" t="str">
            <v>1</v>
          </cell>
          <cell r="Q1618">
            <v>37347</v>
          </cell>
          <cell r="R1618" t="str">
            <v>平成</v>
          </cell>
          <cell r="S1618">
            <v>14</v>
          </cell>
          <cell r="T1618">
            <v>4</v>
          </cell>
          <cell r="AB1618">
            <v>15900</v>
          </cell>
          <cell r="AF1618">
            <v>15</v>
          </cell>
          <cell r="AJ1618" t="str">
            <v>名和川</v>
          </cell>
          <cell r="AQ1618" t="str">
            <v/>
          </cell>
          <cell r="AR1618" t="str">
            <v>オキシディションディッチ法</v>
          </cell>
          <cell r="AS1618" t="str">
            <v>3138602004</v>
          </cell>
          <cell r="AT1618" t="str">
            <v/>
          </cell>
          <cell r="AU1618" t="str">
            <v>10</v>
          </cell>
          <cell r="AV1618" t="str">
            <v>10</v>
          </cell>
          <cell r="AW1618">
            <v>0</v>
          </cell>
          <cell r="AX1618">
            <v>0</v>
          </cell>
          <cell r="AY1618">
            <v>0</v>
          </cell>
          <cell r="AZ1618">
            <v>0</v>
          </cell>
          <cell r="BA1618">
            <v>0</v>
          </cell>
          <cell r="BD1618" t="str">
            <v/>
          </cell>
          <cell r="BE1618">
            <v>1</v>
          </cell>
          <cell r="BG1618" t="str">
            <v>1100</v>
          </cell>
        </row>
        <row r="1619">
          <cell r="B1619" t="str">
            <v>G313890206100100</v>
          </cell>
          <cell r="C1619" t="str">
            <v>31.鳥取県</v>
          </cell>
          <cell r="D1619" t="str">
            <v>389</v>
          </cell>
          <cell r="E1619" t="str">
            <v>南部町</v>
          </cell>
          <cell r="F1619" t="str">
            <v>02</v>
          </cell>
          <cell r="G1619" t="str">
            <v>特環 単独</v>
          </cell>
          <cell r="H1619" t="str">
            <v>特定環境保全公共下水道</v>
          </cell>
          <cell r="I1619" t="str">
            <v>単独</v>
          </cell>
          <cell r="J1619" t="str">
            <v>001</v>
          </cell>
          <cell r="K1619" t="str">
            <v>東西町浄化センター</v>
          </cell>
          <cell r="M1619" t="str">
            <v>1</v>
          </cell>
          <cell r="N1619" t="str">
            <v>1</v>
          </cell>
          <cell r="O1619" t="str">
            <v>1</v>
          </cell>
          <cell r="Q1619">
            <v>32965</v>
          </cell>
          <cell r="R1619" t="str">
            <v>平成</v>
          </cell>
          <cell r="S1619">
            <v>2</v>
          </cell>
          <cell r="T1619">
            <v>4</v>
          </cell>
          <cell r="AB1619">
            <v>2900</v>
          </cell>
          <cell r="AD1619" t="str">
            <v>ＡＡ</v>
          </cell>
          <cell r="AF1619">
            <v>15</v>
          </cell>
          <cell r="AI1619" t="str">
            <v>法勝寺川</v>
          </cell>
          <cell r="AL1619" t="str">
            <v>法勝寺第２水源</v>
          </cell>
          <cell r="AM1619">
            <v>6</v>
          </cell>
          <cell r="AO1619" t="str">
            <v>南部町</v>
          </cell>
          <cell r="AQ1619" t="str">
            <v/>
          </cell>
          <cell r="AR1619" t="str">
            <v>オキシディションディッチ法</v>
          </cell>
          <cell r="AS1619" t="str">
            <v>3138902001</v>
          </cell>
          <cell r="AT1619" t="str">
            <v/>
          </cell>
          <cell r="AU1619" t="str">
            <v>11</v>
          </cell>
          <cell r="AV1619" t="str">
            <v>11</v>
          </cell>
          <cell r="AW1619">
            <v>0</v>
          </cell>
          <cell r="AX1619">
            <v>0</v>
          </cell>
          <cell r="AY1619">
            <v>0</v>
          </cell>
          <cell r="AZ1619">
            <v>0</v>
          </cell>
          <cell r="BA1619">
            <v>0</v>
          </cell>
          <cell r="BD1619" t="str">
            <v/>
          </cell>
          <cell r="BE1619">
            <v>1</v>
          </cell>
          <cell r="BG1619" t="str">
            <v>1110</v>
          </cell>
        </row>
        <row r="1620">
          <cell r="B1620" t="str">
            <v>G313890206100200</v>
          </cell>
          <cell r="C1620" t="str">
            <v>31.鳥取県</v>
          </cell>
          <cell r="D1620" t="str">
            <v>389</v>
          </cell>
          <cell r="E1620" t="str">
            <v>南部町</v>
          </cell>
          <cell r="F1620" t="str">
            <v>02</v>
          </cell>
          <cell r="G1620" t="str">
            <v>特環 単独</v>
          </cell>
          <cell r="H1620" t="str">
            <v>特定環境保全公共下水道</v>
          </cell>
          <cell r="I1620" t="str">
            <v>単独</v>
          </cell>
          <cell r="J1620" t="str">
            <v>002</v>
          </cell>
          <cell r="K1620" t="str">
            <v>クリンピュア西伯</v>
          </cell>
          <cell r="M1620" t="str">
            <v>1</v>
          </cell>
          <cell r="N1620" t="str">
            <v>1</v>
          </cell>
          <cell r="Q1620">
            <v>37803</v>
          </cell>
          <cell r="R1620" t="str">
            <v>平成</v>
          </cell>
          <cell r="S1620">
            <v>15</v>
          </cell>
          <cell r="T1620">
            <v>7</v>
          </cell>
          <cell r="V1620">
            <v>40242</v>
          </cell>
          <cell r="W1620" t="str">
            <v>平成</v>
          </cell>
          <cell r="X1620">
            <v>22</v>
          </cell>
          <cell r="Y1620">
            <v>3</v>
          </cell>
          <cell r="AB1620">
            <v>5700</v>
          </cell>
          <cell r="AD1620" t="str">
            <v>ＡＡ</v>
          </cell>
          <cell r="AF1620">
            <v>15</v>
          </cell>
          <cell r="AI1620" t="str">
            <v>法勝寺川</v>
          </cell>
          <cell r="AL1620" t="str">
            <v>法勝寺第２水源</v>
          </cell>
          <cell r="AM1620">
            <v>3</v>
          </cell>
          <cell r="AO1620" t="str">
            <v>南部町</v>
          </cell>
          <cell r="AQ1620" t="str">
            <v/>
          </cell>
          <cell r="AR1620" t="str">
            <v>オキシディションディッチ法</v>
          </cell>
          <cell r="AS1620" t="str">
            <v>3138902002</v>
          </cell>
          <cell r="AT1620" t="str">
            <v/>
          </cell>
          <cell r="AU1620" t="str">
            <v>10</v>
          </cell>
          <cell r="AV1620" t="str">
            <v>10</v>
          </cell>
          <cell r="AW1620">
            <v>0</v>
          </cell>
          <cell r="AX1620">
            <v>0</v>
          </cell>
          <cell r="AY1620">
            <v>0</v>
          </cell>
          <cell r="AZ1620">
            <v>0</v>
          </cell>
          <cell r="BA1620">
            <v>0</v>
          </cell>
          <cell r="BD1620" t="str">
            <v/>
          </cell>
          <cell r="BE1620">
            <v>1</v>
          </cell>
          <cell r="BG1620" t="str">
            <v>1100</v>
          </cell>
        </row>
        <row r="1621">
          <cell r="B1621" t="str">
            <v>G313900206100100</v>
          </cell>
          <cell r="C1621" t="str">
            <v>31.鳥取県</v>
          </cell>
          <cell r="D1621" t="str">
            <v>390</v>
          </cell>
          <cell r="E1621" t="str">
            <v>伯耆町</v>
          </cell>
          <cell r="F1621" t="str">
            <v>02</v>
          </cell>
          <cell r="G1621" t="str">
            <v>特環 単独</v>
          </cell>
          <cell r="H1621" t="str">
            <v>特定環境保全公共下水道</v>
          </cell>
          <cell r="I1621" t="str">
            <v>単独</v>
          </cell>
          <cell r="J1621" t="str">
            <v>001</v>
          </cell>
          <cell r="K1621" t="str">
            <v>溝口浄化センター</v>
          </cell>
          <cell r="M1621" t="str">
            <v>1</v>
          </cell>
          <cell r="N1621" t="str">
            <v>1</v>
          </cell>
          <cell r="Q1621">
            <v>35886</v>
          </cell>
          <cell r="R1621" t="str">
            <v>平成</v>
          </cell>
          <cell r="S1621">
            <v>10</v>
          </cell>
          <cell r="T1621">
            <v>4</v>
          </cell>
          <cell r="AB1621">
            <v>3500</v>
          </cell>
          <cell r="AK1621" t="str">
            <v>大江川</v>
          </cell>
          <cell r="AQ1621" t="str">
            <v/>
          </cell>
          <cell r="AR1621" t="str">
            <v>オキシディションディッチ法</v>
          </cell>
          <cell r="AS1621" t="str">
            <v>3139002001</v>
          </cell>
          <cell r="AT1621" t="str">
            <v/>
          </cell>
          <cell r="AU1621" t="str">
            <v>10</v>
          </cell>
          <cell r="AV1621" t="str">
            <v>10</v>
          </cell>
          <cell r="AW1621">
            <v>0</v>
          </cell>
          <cell r="AX1621">
            <v>0</v>
          </cell>
          <cell r="AY1621">
            <v>0</v>
          </cell>
          <cell r="AZ1621">
            <v>0</v>
          </cell>
          <cell r="BA1621">
            <v>0</v>
          </cell>
          <cell r="BD1621" t="str">
            <v/>
          </cell>
          <cell r="BE1621">
            <v>1</v>
          </cell>
          <cell r="BG1621" t="str">
            <v>1100</v>
          </cell>
        </row>
        <row r="1622">
          <cell r="B1622" t="str">
            <v>G313900206100200</v>
          </cell>
          <cell r="C1622" t="str">
            <v>31.鳥取県</v>
          </cell>
          <cell r="D1622" t="str">
            <v>390</v>
          </cell>
          <cell r="E1622" t="str">
            <v>伯耆町</v>
          </cell>
          <cell r="F1622" t="str">
            <v>02</v>
          </cell>
          <cell r="G1622" t="str">
            <v>特環 単独</v>
          </cell>
          <cell r="H1622" t="str">
            <v>特定環境保全公共下水道</v>
          </cell>
          <cell r="I1622" t="str">
            <v>単独</v>
          </cell>
          <cell r="J1622" t="str">
            <v>002</v>
          </cell>
          <cell r="K1622" t="str">
            <v>大殿浄化センター</v>
          </cell>
          <cell r="M1622" t="str">
            <v>1</v>
          </cell>
          <cell r="N1622" t="str">
            <v>1</v>
          </cell>
          <cell r="Q1622">
            <v>36951</v>
          </cell>
          <cell r="R1622" t="str">
            <v>平成</v>
          </cell>
          <cell r="S1622">
            <v>13</v>
          </cell>
          <cell r="T1622">
            <v>3</v>
          </cell>
          <cell r="AB1622">
            <v>10394</v>
          </cell>
          <cell r="AI1622" t="str">
            <v>大川</v>
          </cell>
          <cell r="AK1622" t="str">
            <v>日野川</v>
          </cell>
          <cell r="AQ1622" t="str">
            <v/>
          </cell>
          <cell r="AR1622" t="str">
            <v>オキシディションディッチ法</v>
          </cell>
          <cell r="AS1622" t="str">
            <v>3139002002</v>
          </cell>
          <cell r="AT1622" t="str">
            <v/>
          </cell>
          <cell r="AU1622" t="str">
            <v>10</v>
          </cell>
          <cell r="AV1622" t="str">
            <v>10</v>
          </cell>
          <cell r="AW1622">
            <v>0</v>
          </cell>
          <cell r="AX1622">
            <v>0</v>
          </cell>
          <cell r="AY1622">
            <v>0</v>
          </cell>
          <cell r="AZ1622">
            <v>0</v>
          </cell>
          <cell r="BA1622">
            <v>0</v>
          </cell>
          <cell r="BD1622" t="str">
            <v/>
          </cell>
          <cell r="BE1622">
            <v>1</v>
          </cell>
          <cell r="BG1622" t="str">
            <v>1100</v>
          </cell>
        </row>
        <row r="1623">
          <cell r="B1623" t="str">
            <v>G314020206100100</v>
          </cell>
          <cell r="C1623" t="str">
            <v>31.鳥取県</v>
          </cell>
          <cell r="D1623" t="str">
            <v>402</v>
          </cell>
          <cell r="E1623" t="str">
            <v>日野町</v>
          </cell>
          <cell r="F1623" t="str">
            <v>02</v>
          </cell>
          <cell r="G1623" t="str">
            <v>特環 単独</v>
          </cell>
          <cell r="H1623" t="str">
            <v>特定環境保全公共下水道</v>
          </cell>
          <cell r="I1623" t="str">
            <v>単独</v>
          </cell>
          <cell r="J1623" t="str">
            <v>001</v>
          </cell>
          <cell r="K1623" t="str">
            <v>日野中央浄化センター</v>
          </cell>
          <cell r="M1623" t="str">
            <v>1</v>
          </cell>
          <cell r="N1623" t="str">
            <v>1</v>
          </cell>
          <cell r="Q1623">
            <v>35886</v>
          </cell>
          <cell r="R1623" t="str">
            <v>平成</v>
          </cell>
          <cell r="S1623">
            <v>10</v>
          </cell>
          <cell r="T1623">
            <v>4</v>
          </cell>
          <cell r="AB1623">
            <v>6100</v>
          </cell>
          <cell r="AC1623" t="str">
            <v>日野川</v>
          </cell>
          <cell r="AD1623" t="str">
            <v>ＡＡ</v>
          </cell>
          <cell r="AI1623" t="str">
            <v>農業用水路</v>
          </cell>
          <cell r="AK1623" t="str">
            <v>日野川</v>
          </cell>
          <cell r="AM1623">
            <v>1.5</v>
          </cell>
          <cell r="AQ1623" t="str">
            <v/>
          </cell>
          <cell r="AR1623" t="str">
            <v>長時間エアレーション法</v>
          </cell>
          <cell r="AS1623" t="str">
            <v>3140202001</v>
          </cell>
          <cell r="AT1623" t="str">
            <v/>
          </cell>
          <cell r="AU1623" t="str">
            <v>10</v>
          </cell>
          <cell r="AV1623" t="str">
            <v>10</v>
          </cell>
          <cell r="AW1623">
            <v>0</v>
          </cell>
          <cell r="AX1623">
            <v>0</v>
          </cell>
          <cell r="AY1623">
            <v>0</v>
          </cell>
          <cell r="AZ1623">
            <v>0</v>
          </cell>
          <cell r="BA1623">
            <v>0</v>
          </cell>
          <cell r="BD1623" t="str">
            <v/>
          </cell>
          <cell r="BE1623">
            <v>1</v>
          </cell>
          <cell r="BG1623" t="str">
            <v>1100</v>
          </cell>
        </row>
        <row r="1624">
          <cell r="B1624" t="str">
            <v>G314030206100100</v>
          </cell>
          <cell r="C1624" t="str">
            <v>31.鳥取県</v>
          </cell>
          <cell r="D1624" t="str">
            <v>403</v>
          </cell>
          <cell r="E1624" t="str">
            <v>江府町</v>
          </cell>
          <cell r="F1624" t="str">
            <v>02</v>
          </cell>
          <cell r="G1624" t="str">
            <v>特環 単独</v>
          </cell>
          <cell r="H1624" t="str">
            <v>特定環境保全公共下水道</v>
          </cell>
          <cell r="I1624" t="str">
            <v>単独</v>
          </cell>
          <cell r="J1624" t="str">
            <v>001</v>
          </cell>
          <cell r="K1624" t="str">
            <v>チロルの里水処理センター</v>
          </cell>
          <cell r="M1624" t="str">
            <v>1</v>
          </cell>
          <cell r="N1624" t="str">
            <v>1</v>
          </cell>
          <cell r="Q1624">
            <v>36617</v>
          </cell>
          <cell r="R1624" t="str">
            <v>平成</v>
          </cell>
          <cell r="S1624">
            <v>12</v>
          </cell>
          <cell r="T1624">
            <v>4</v>
          </cell>
          <cell r="AB1624">
            <v>4989</v>
          </cell>
          <cell r="AC1624" t="str">
            <v>設定なし</v>
          </cell>
          <cell r="AF1624">
            <v>20</v>
          </cell>
          <cell r="AK1624" t="str">
            <v>日野川</v>
          </cell>
          <cell r="AQ1624" t="str">
            <v/>
          </cell>
          <cell r="AR1624" t="str">
            <v>オキシディションディッチ法</v>
          </cell>
          <cell r="AS1624" t="str">
            <v>3140302001</v>
          </cell>
          <cell r="AT1624" t="str">
            <v/>
          </cell>
          <cell r="AU1624" t="str">
            <v>10</v>
          </cell>
          <cell r="AV1624" t="str">
            <v>10</v>
          </cell>
          <cell r="AW1624">
            <v>0</v>
          </cell>
          <cell r="AX1624">
            <v>0</v>
          </cell>
          <cell r="AY1624">
            <v>0</v>
          </cell>
          <cell r="AZ1624">
            <v>0</v>
          </cell>
          <cell r="BA1624">
            <v>0</v>
          </cell>
          <cell r="BD1624" t="str">
            <v/>
          </cell>
          <cell r="BE1624">
            <v>1</v>
          </cell>
          <cell r="BG1624" t="str">
            <v>1100</v>
          </cell>
        </row>
        <row r="1625">
          <cell r="B1625" t="str">
            <v>G320018106100100</v>
          </cell>
          <cell r="C1625" t="str">
            <v>32.島根県</v>
          </cell>
          <cell r="D1625" t="str">
            <v>001</v>
          </cell>
          <cell r="E1625" t="str">
            <v>宍道湖流域</v>
          </cell>
          <cell r="F1625" t="str">
            <v>81</v>
          </cell>
          <cell r="G1625" t="str">
            <v>流域</v>
          </cell>
          <cell r="H1625" t="str">
            <v>流域下水道</v>
          </cell>
          <cell r="I1625" t="str">
            <v/>
          </cell>
          <cell r="J1625" t="str">
            <v>001</v>
          </cell>
          <cell r="K1625" t="str">
            <v>宍道湖東部浄化センター</v>
          </cell>
          <cell r="M1625" t="str">
            <v>1</v>
          </cell>
          <cell r="N1625" t="str">
            <v>1</v>
          </cell>
          <cell r="O1625" t="str">
            <v>1</v>
          </cell>
          <cell r="P1625" t="str">
            <v>1</v>
          </cell>
          <cell r="Q1625">
            <v>29677</v>
          </cell>
          <cell r="R1625" t="str">
            <v>昭和</v>
          </cell>
          <cell r="S1625">
            <v>56</v>
          </cell>
          <cell r="T1625">
            <v>4</v>
          </cell>
          <cell r="AB1625">
            <v>188000</v>
          </cell>
          <cell r="AC1625" t="str">
            <v>中海</v>
          </cell>
          <cell r="AD1625" t="str">
            <v>Ａ-Ⅲ</v>
          </cell>
          <cell r="AE1625" t="str">
            <v>ロ</v>
          </cell>
          <cell r="AF1625">
            <v>10</v>
          </cell>
          <cell r="AG1625">
            <v>8</v>
          </cell>
          <cell r="AH1625">
            <v>0.4</v>
          </cell>
          <cell r="AI1625" t="str">
            <v>意宇川</v>
          </cell>
          <cell r="AK1625" t="str">
            <v>斐伊川</v>
          </cell>
          <cell r="AL1625" t="str">
            <v>出雲市大津町来原</v>
          </cell>
          <cell r="AM1625">
            <v>35</v>
          </cell>
          <cell r="AO1625" t="str">
            <v>出雲市</v>
          </cell>
          <cell r="AQ1625" t="str">
            <v/>
          </cell>
          <cell r="AR1625" t="str">
            <v>ステップ流入式多段硝化脱窒法</v>
          </cell>
          <cell r="AS1625" t="str">
            <v>3200181001</v>
          </cell>
          <cell r="AT1625" t="str">
            <v/>
          </cell>
          <cell r="AU1625" t="str">
            <v>11</v>
          </cell>
          <cell r="AV1625" t="str">
            <v>10</v>
          </cell>
          <cell r="AW1625">
            <v>1</v>
          </cell>
          <cell r="AX1625">
            <v>0</v>
          </cell>
          <cell r="AY1625">
            <v>-1</v>
          </cell>
          <cell r="AZ1625">
            <v>0</v>
          </cell>
          <cell r="BA1625">
            <v>1</v>
          </cell>
          <cell r="BC1625" t="str">
            <v>コンポスト休止</v>
          </cell>
          <cell r="BD1625" t="str">
            <v>コンポスト休止</v>
          </cell>
          <cell r="BE1625">
            <v>1</v>
          </cell>
          <cell r="BG1625" t="str">
            <v>1111</v>
          </cell>
        </row>
        <row r="1626">
          <cell r="B1626" t="str">
            <v>G320018106100200</v>
          </cell>
          <cell r="C1626" t="str">
            <v>32.島根県</v>
          </cell>
          <cell r="D1626" t="str">
            <v>001</v>
          </cell>
          <cell r="E1626" t="str">
            <v>宍道湖流域</v>
          </cell>
          <cell r="F1626" t="str">
            <v>81</v>
          </cell>
          <cell r="G1626" t="str">
            <v>流域</v>
          </cell>
          <cell r="H1626" t="str">
            <v>流域下水道</v>
          </cell>
          <cell r="I1626" t="str">
            <v/>
          </cell>
          <cell r="J1626" t="str">
            <v>002</v>
          </cell>
          <cell r="K1626" t="str">
            <v>宍道湖西部浄化センター</v>
          </cell>
          <cell r="M1626" t="str">
            <v>1</v>
          </cell>
          <cell r="N1626" t="str">
            <v>1</v>
          </cell>
          <cell r="Q1626">
            <v>32509</v>
          </cell>
          <cell r="R1626" t="str">
            <v>昭和</v>
          </cell>
          <cell r="S1626">
            <v>64</v>
          </cell>
          <cell r="T1626">
            <v>1</v>
          </cell>
          <cell r="AB1626">
            <v>151400</v>
          </cell>
          <cell r="AC1626" t="str">
            <v>設定なし</v>
          </cell>
          <cell r="AF1626">
            <v>15</v>
          </cell>
          <cell r="AI1626" t="str">
            <v>日本海</v>
          </cell>
          <cell r="AQ1626" t="str">
            <v/>
          </cell>
          <cell r="AR1626" t="str">
            <v>標準活性汚泥法</v>
          </cell>
          <cell r="AS1626" t="str">
            <v>3200181002</v>
          </cell>
          <cell r="AT1626" t="str">
            <v/>
          </cell>
          <cell r="AU1626" t="str">
            <v>10</v>
          </cell>
          <cell r="AV1626" t="str">
            <v>10</v>
          </cell>
          <cell r="AW1626">
            <v>0</v>
          </cell>
          <cell r="AX1626">
            <v>0</v>
          </cell>
          <cell r="AY1626">
            <v>0</v>
          </cell>
          <cell r="AZ1626">
            <v>0</v>
          </cell>
          <cell r="BA1626">
            <v>0</v>
          </cell>
          <cell r="BD1626" t="str">
            <v/>
          </cell>
          <cell r="BE1626">
            <v>1</v>
          </cell>
          <cell r="BG1626" t="str">
            <v>1100</v>
          </cell>
        </row>
        <row r="1627">
          <cell r="B1627" t="str">
            <v>G322010206100100</v>
          </cell>
          <cell r="C1627" t="str">
            <v>32.島根県</v>
          </cell>
          <cell r="D1627" t="str">
            <v>201</v>
          </cell>
          <cell r="E1627" t="str">
            <v>松江市</v>
          </cell>
          <cell r="F1627" t="str">
            <v>02</v>
          </cell>
          <cell r="G1627" t="str">
            <v>特環 単独</v>
          </cell>
          <cell r="H1627" t="str">
            <v>特定環境保全公共下水道</v>
          </cell>
          <cell r="I1627" t="str">
            <v>単独</v>
          </cell>
          <cell r="J1627" t="str">
            <v>001</v>
          </cell>
          <cell r="K1627" t="str">
            <v>千酌浄化センター</v>
          </cell>
          <cell r="M1627" t="str">
            <v>1</v>
          </cell>
          <cell r="N1627" t="str">
            <v>1</v>
          </cell>
          <cell r="Q1627">
            <v>36982</v>
          </cell>
          <cell r="R1627" t="str">
            <v>平成</v>
          </cell>
          <cell r="S1627">
            <v>13</v>
          </cell>
          <cell r="T1627">
            <v>4</v>
          </cell>
          <cell r="AB1627">
            <v>1247</v>
          </cell>
          <cell r="AF1627">
            <v>20</v>
          </cell>
          <cell r="AI1627" t="str">
            <v>日本海</v>
          </cell>
          <cell r="AQ1627" t="str">
            <v/>
          </cell>
          <cell r="AR1627" t="str">
            <v>オキシディションディッチ法</v>
          </cell>
          <cell r="AS1627" t="str">
            <v>3220102001</v>
          </cell>
          <cell r="AT1627" t="str">
            <v/>
          </cell>
          <cell r="AU1627" t="str">
            <v>10</v>
          </cell>
          <cell r="AV1627" t="str">
            <v>10</v>
          </cell>
          <cell r="AW1627">
            <v>0</v>
          </cell>
          <cell r="AX1627">
            <v>0</v>
          </cell>
          <cell r="AY1627">
            <v>0</v>
          </cell>
          <cell r="AZ1627">
            <v>0</v>
          </cell>
          <cell r="BA1627">
            <v>0</v>
          </cell>
          <cell r="BD1627" t="str">
            <v/>
          </cell>
          <cell r="BE1627">
            <v>1</v>
          </cell>
          <cell r="BG1627" t="str">
            <v>1100</v>
          </cell>
        </row>
        <row r="1628">
          <cell r="B1628" t="str">
            <v>G322010206100200</v>
          </cell>
          <cell r="C1628" t="str">
            <v>32.島根県</v>
          </cell>
          <cell r="D1628" t="str">
            <v>201</v>
          </cell>
          <cell r="E1628" t="str">
            <v>松江市</v>
          </cell>
          <cell r="F1628" t="str">
            <v>02</v>
          </cell>
          <cell r="G1628" t="str">
            <v>特環 単独</v>
          </cell>
          <cell r="H1628" t="str">
            <v>特定環境保全公共下水道</v>
          </cell>
          <cell r="I1628" t="str">
            <v>単独</v>
          </cell>
          <cell r="J1628" t="str">
            <v>002</v>
          </cell>
          <cell r="K1628" t="str">
            <v>江島浄化センター</v>
          </cell>
          <cell r="M1628" t="str">
            <v>1</v>
          </cell>
          <cell r="N1628" t="str">
            <v>1</v>
          </cell>
          <cell r="Q1628">
            <v>33695</v>
          </cell>
          <cell r="R1628" t="str">
            <v>平成</v>
          </cell>
          <cell r="S1628">
            <v>4</v>
          </cell>
          <cell r="T1628">
            <v>4</v>
          </cell>
          <cell r="AB1628">
            <v>1015</v>
          </cell>
          <cell r="AC1628" t="str">
            <v>斐伊川</v>
          </cell>
          <cell r="AD1628" t="str">
            <v>ＡＡ</v>
          </cell>
          <cell r="AE1628" t="str">
            <v>ロ</v>
          </cell>
          <cell r="AF1628">
            <v>20</v>
          </cell>
          <cell r="AI1628" t="str">
            <v>中海</v>
          </cell>
          <cell r="AQ1628" t="str">
            <v/>
          </cell>
          <cell r="AR1628" t="str">
            <v>回分式活性汚泥法</v>
          </cell>
          <cell r="AS1628" t="str">
            <v>3220102002</v>
          </cell>
          <cell r="AT1628" t="str">
            <v/>
          </cell>
          <cell r="AU1628" t="str">
            <v>10</v>
          </cell>
          <cell r="AV1628" t="str">
            <v>10</v>
          </cell>
          <cell r="AW1628">
            <v>0</v>
          </cell>
          <cell r="AX1628">
            <v>0</v>
          </cell>
          <cell r="AY1628">
            <v>0</v>
          </cell>
          <cell r="AZ1628">
            <v>0</v>
          </cell>
          <cell r="BA1628">
            <v>0</v>
          </cell>
          <cell r="BD1628" t="str">
            <v/>
          </cell>
          <cell r="BE1628">
            <v>1</v>
          </cell>
          <cell r="BG1628" t="str">
            <v>1100</v>
          </cell>
        </row>
        <row r="1629">
          <cell r="B1629" t="str">
            <v>G322010206100300</v>
          </cell>
          <cell r="C1629" t="str">
            <v>32.島根県</v>
          </cell>
          <cell r="D1629" t="str">
            <v>201</v>
          </cell>
          <cell r="E1629" t="str">
            <v>松江市</v>
          </cell>
          <cell r="F1629" t="str">
            <v>02</v>
          </cell>
          <cell r="G1629" t="str">
            <v>特環 単独</v>
          </cell>
          <cell r="H1629" t="str">
            <v>特定環境保全公共下水道</v>
          </cell>
          <cell r="I1629" t="str">
            <v>単独</v>
          </cell>
          <cell r="J1629" t="str">
            <v>003</v>
          </cell>
          <cell r="K1629" t="str">
            <v>遅江浄化センター</v>
          </cell>
          <cell r="M1629" t="str">
            <v>1</v>
          </cell>
          <cell r="N1629" t="str">
            <v>1</v>
          </cell>
          <cell r="Q1629">
            <v>33695</v>
          </cell>
          <cell r="R1629" t="str">
            <v>平成</v>
          </cell>
          <cell r="S1629">
            <v>4</v>
          </cell>
          <cell r="T1629">
            <v>4</v>
          </cell>
          <cell r="AB1629">
            <v>1212</v>
          </cell>
          <cell r="AC1629" t="str">
            <v>斐伊川</v>
          </cell>
          <cell r="AD1629" t="str">
            <v>ＡＡ</v>
          </cell>
          <cell r="AE1629" t="str">
            <v>ロ</v>
          </cell>
          <cell r="AF1629">
            <v>20</v>
          </cell>
          <cell r="AK1629" t="str">
            <v>斐伊川（中海）</v>
          </cell>
          <cell r="AQ1629" t="str">
            <v/>
          </cell>
          <cell r="AR1629" t="str">
            <v>回分式活性汚泥法</v>
          </cell>
          <cell r="AS1629" t="str">
            <v>3220102003</v>
          </cell>
          <cell r="AT1629" t="str">
            <v/>
          </cell>
          <cell r="AU1629" t="str">
            <v>10</v>
          </cell>
          <cell r="AV1629" t="str">
            <v>10</v>
          </cell>
          <cell r="AW1629">
            <v>0</v>
          </cell>
          <cell r="AX1629">
            <v>0</v>
          </cell>
          <cell r="AY1629">
            <v>0</v>
          </cell>
          <cell r="AZ1629">
            <v>0</v>
          </cell>
          <cell r="BA1629">
            <v>0</v>
          </cell>
          <cell r="BD1629" t="str">
            <v/>
          </cell>
          <cell r="BE1629">
            <v>1</v>
          </cell>
          <cell r="BG1629" t="str">
            <v>1100</v>
          </cell>
        </row>
        <row r="1630">
          <cell r="B1630" t="str">
            <v>G322010206100400</v>
          </cell>
          <cell r="C1630" t="str">
            <v>32.島根県</v>
          </cell>
          <cell r="D1630" t="str">
            <v>201</v>
          </cell>
          <cell r="E1630" t="str">
            <v>松江市</v>
          </cell>
          <cell r="F1630" t="str">
            <v>02</v>
          </cell>
          <cell r="G1630" t="str">
            <v>特環 単独</v>
          </cell>
          <cell r="H1630" t="str">
            <v>特定環境保全公共下水道</v>
          </cell>
          <cell r="I1630" t="str">
            <v>単独</v>
          </cell>
          <cell r="J1630" t="str">
            <v>004</v>
          </cell>
          <cell r="K1630" t="str">
            <v>クリーンセンター鹿島</v>
          </cell>
          <cell r="M1630" t="str">
            <v>1</v>
          </cell>
          <cell r="N1630" t="str">
            <v>1</v>
          </cell>
          <cell r="Q1630">
            <v>33878</v>
          </cell>
          <cell r="R1630" t="str">
            <v>平成</v>
          </cell>
          <cell r="S1630">
            <v>4</v>
          </cell>
          <cell r="T1630">
            <v>10</v>
          </cell>
          <cell r="AB1630">
            <v>1470</v>
          </cell>
          <cell r="AF1630">
            <v>15</v>
          </cell>
          <cell r="AI1630" t="str">
            <v>日本海</v>
          </cell>
          <cell r="AQ1630" t="str">
            <v/>
          </cell>
          <cell r="AR1630" t="str">
            <v>酸素活性汚泥法</v>
          </cell>
          <cell r="AS1630" t="str">
            <v>3220102004</v>
          </cell>
          <cell r="AT1630" t="str">
            <v/>
          </cell>
          <cell r="AU1630" t="str">
            <v>10</v>
          </cell>
          <cell r="AV1630" t="str">
            <v>10</v>
          </cell>
          <cell r="AW1630">
            <v>0</v>
          </cell>
          <cell r="AX1630">
            <v>0</v>
          </cell>
          <cell r="AY1630">
            <v>0</v>
          </cell>
          <cell r="AZ1630">
            <v>0</v>
          </cell>
          <cell r="BA1630">
            <v>0</v>
          </cell>
          <cell r="BD1630" t="str">
            <v/>
          </cell>
          <cell r="BE1630">
            <v>1</v>
          </cell>
          <cell r="BG1630" t="str">
            <v>1100</v>
          </cell>
        </row>
        <row r="1631">
          <cell r="B1631" t="str">
            <v>G322010206100500</v>
          </cell>
          <cell r="C1631" t="str">
            <v>32.島根県</v>
          </cell>
          <cell r="D1631" t="str">
            <v>201</v>
          </cell>
          <cell r="E1631" t="str">
            <v>松江市</v>
          </cell>
          <cell r="F1631" t="str">
            <v>02</v>
          </cell>
          <cell r="G1631" t="str">
            <v>特環 単独</v>
          </cell>
          <cell r="H1631" t="str">
            <v>特定環境保全公共下水道</v>
          </cell>
          <cell r="I1631" t="str">
            <v>単独</v>
          </cell>
          <cell r="J1631" t="str">
            <v>005</v>
          </cell>
          <cell r="K1631" t="str">
            <v>馬渡浄化センター</v>
          </cell>
          <cell r="M1631" t="str">
            <v>1</v>
          </cell>
          <cell r="N1631" t="str">
            <v>1</v>
          </cell>
          <cell r="Q1631">
            <v>35156</v>
          </cell>
          <cell r="R1631" t="str">
            <v>平成</v>
          </cell>
          <cell r="S1631">
            <v>8</v>
          </cell>
          <cell r="T1631">
            <v>4</v>
          </cell>
          <cell r="AB1631">
            <v>565</v>
          </cell>
          <cell r="AC1631" t="str">
            <v>斐伊川</v>
          </cell>
          <cell r="AD1631" t="str">
            <v>ＡＡ</v>
          </cell>
          <cell r="AE1631" t="str">
            <v>ロ</v>
          </cell>
          <cell r="AF1631">
            <v>20</v>
          </cell>
          <cell r="AI1631" t="str">
            <v>斐伊川（中海）</v>
          </cell>
          <cell r="AQ1631" t="str">
            <v/>
          </cell>
          <cell r="AR1631" t="str">
            <v>回分式活性汚泥法</v>
          </cell>
          <cell r="AS1631" t="str">
            <v>3220102005</v>
          </cell>
          <cell r="AT1631" t="str">
            <v/>
          </cell>
          <cell r="AU1631" t="str">
            <v>10</v>
          </cell>
          <cell r="AV1631" t="str">
            <v>10</v>
          </cell>
          <cell r="AW1631">
            <v>0</v>
          </cell>
          <cell r="AX1631">
            <v>0</v>
          </cell>
          <cell r="AY1631">
            <v>0</v>
          </cell>
          <cell r="AZ1631">
            <v>0</v>
          </cell>
          <cell r="BA1631">
            <v>0</v>
          </cell>
          <cell r="BD1631" t="str">
            <v/>
          </cell>
          <cell r="BE1631">
            <v>1</v>
          </cell>
          <cell r="BG1631" t="str">
            <v>1100</v>
          </cell>
        </row>
        <row r="1632">
          <cell r="B1632" t="str">
            <v>G322010206100600</v>
          </cell>
          <cell r="C1632" t="str">
            <v>32.島根県</v>
          </cell>
          <cell r="D1632" t="str">
            <v>201</v>
          </cell>
          <cell r="E1632" t="str">
            <v>松江市</v>
          </cell>
          <cell r="F1632" t="str">
            <v>02</v>
          </cell>
          <cell r="G1632" t="str">
            <v>特環 単独</v>
          </cell>
          <cell r="H1632" t="str">
            <v>特定環境保全公共下水道</v>
          </cell>
          <cell r="I1632" t="str">
            <v>単独</v>
          </cell>
          <cell r="J1632" t="str">
            <v>006</v>
          </cell>
          <cell r="K1632" t="str">
            <v>佐波浄化センター</v>
          </cell>
          <cell r="M1632" t="str">
            <v>1</v>
          </cell>
          <cell r="N1632" t="str">
            <v>1</v>
          </cell>
          <cell r="Q1632">
            <v>35521</v>
          </cell>
          <cell r="R1632" t="str">
            <v>平成</v>
          </cell>
          <cell r="S1632">
            <v>9</v>
          </cell>
          <cell r="T1632">
            <v>4</v>
          </cell>
          <cell r="AB1632">
            <v>560</v>
          </cell>
          <cell r="AF1632">
            <v>20</v>
          </cell>
          <cell r="AI1632" t="str">
            <v>日本海</v>
          </cell>
          <cell r="AQ1632" t="str">
            <v/>
          </cell>
          <cell r="AR1632" t="str">
            <v>オキシディションディッチ法</v>
          </cell>
          <cell r="AS1632" t="str">
            <v>3220102006</v>
          </cell>
          <cell r="AT1632" t="str">
            <v/>
          </cell>
          <cell r="AU1632" t="str">
            <v>10</v>
          </cell>
          <cell r="AV1632" t="str">
            <v>10</v>
          </cell>
          <cell r="AW1632">
            <v>0</v>
          </cell>
          <cell r="AX1632">
            <v>0</v>
          </cell>
          <cell r="AY1632">
            <v>0</v>
          </cell>
          <cell r="AZ1632">
            <v>0</v>
          </cell>
          <cell r="BA1632">
            <v>0</v>
          </cell>
          <cell r="BD1632" t="str">
            <v/>
          </cell>
          <cell r="BE1632">
            <v>1</v>
          </cell>
          <cell r="BG1632" t="str">
            <v>1100</v>
          </cell>
        </row>
        <row r="1633">
          <cell r="B1633" t="str">
            <v>G322010206100700</v>
          </cell>
          <cell r="C1633" t="str">
            <v>32.島根県</v>
          </cell>
          <cell r="D1633" t="str">
            <v>201</v>
          </cell>
          <cell r="E1633" t="str">
            <v>松江市</v>
          </cell>
          <cell r="F1633" t="str">
            <v>02</v>
          </cell>
          <cell r="G1633" t="str">
            <v>特環 単独</v>
          </cell>
          <cell r="H1633" t="str">
            <v>特定環境保全公共下水道</v>
          </cell>
          <cell r="I1633" t="str">
            <v>単独</v>
          </cell>
          <cell r="J1633" t="str">
            <v>007</v>
          </cell>
          <cell r="K1633" t="str">
            <v>七類浄化センター</v>
          </cell>
          <cell r="M1633" t="str">
            <v>1</v>
          </cell>
          <cell r="N1633" t="str">
            <v>1</v>
          </cell>
          <cell r="Q1633">
            <v>39173</v>
          </cell>
          <cell r="R1633" t="str">
            <v>平成</v>
          </cell>
          <cell r="S1633">
            <v>19</v>
          </cell>
          <cell r="T1633">
            <v>4</v>
          </cell>
          <cell r="AB1633">
            <v>6435</v>
          </cell>
          <cell r="AF1633">
            <v>15</v>
          </cell>
          <cell r="AI1633" t="str">
            <v>日本海</v>
          </cell>
          <cell r="AQ1633" t="str">
            <v/>
          </cell>
          <cell r="AR1633" t="str">
            <v>オキシディションディッチ法</v>
          </cell>
          <cell r="AS1633" t="str">
            <v>3220102007</v>
          </cell>
          <cell r="AT1633" t="str">
            <v/>
          </cell>
          <cell r="AU1633" t="str">
            <v>10</v>
          </cell>
          <cell r="AV1633" t="str">
            <v>10</v>
          </cell>
          <cell r="AW1633">
            <v>0</v>
          </cell>
          <cell r="AX1633">
            <v>0</v>
          </cell>
          <cell r="AY1633">
            <v>0</v>
          </cell>
          <cell r="AZ1633">
            <v>0</v>
          </cell>
          <cell r="BA1633">
            <v>0</v>
          </cell>
          <cell r="BD1633" t="str">
            <v/>
          </cell>
          <cell r="BE1633">
            <v>1</v>
          </cell>
          <cell r="BG1633" t="str">
            <v>1100</v>
          </cell>
        </row>
        <row r="1634">
          <cell r="B1634" t="str">
            <v>G322010206100800</v>
          </cell>
          <cell r="C1634" t="str">
            <v>32.島根県</v>
          </cell>
          <cell r="D1634" t="str">
            <v>201</v>
          </cell>
          <cell r="E1634" t="str">
            <v>松江市</v>
          </cell>
          <cell r="F1634" t="str">
            <v>02</v>
          </cell>
          <cell r="G1634" t="str">
            <v>特環 単独</v>
          </cell>
          <cell r="H1634" t="str">
            <v>特定環境保全公共下水道</v>
          </cell>
          <cell r="I1634" t="str">
            <v>単独</v>
          </cell>
          <cell r="J1634" t="str">
            <v>008</v>
          </cell>
          <cell r="K1634" t="str">
            <v>森山浄化センター</v>
          </cell>
          <cell r="M1634" t="str">
            <v>1</v>
          </cell>
          <cell r="N1634" t="str">
            <v>1</v>
          </cell>
          <cell r="Q1634">
            <v>40695</v>
          </cell>
          <cell r="R1634" t="str">
            <v>平成</v>
          </cell>
          <cell r="S1634">
            <v>23</v>
          </cell>
          <cell r="T1634">
            <v>6</v>
          </cell>
          <cell r="AB1634">
            <v>2635.04</v>
          </cell>
          <cell r="AF1634">
            <v>15</v>
          </cell>
          <cell r="AG1634">
            <v>20</v>
          </cell>
          <cell r="AH1634">
            <v>3</v>
          </cell>
          <cell r="AK1634" t="str">
            <v>境水道</v>
          </cell>
          <cell r="AQ1634" t="str">
            <v/>
          </cell>
          <cell r="AR1634" t="str">
            <v>オキシディションディッチ法</v>
          </cell>
          <cell r="AS1634" t="str">
            <v>3220102008</v>
          </cell>
          <cell r="AT1634" t="str">
            <v/>
          </cell>
          <cell r="AU1634" t="str">
            <v>10</v>
          </cell>
          <cell r="AV1634" t="str">
            <v>10</v>
          </cell>
          <cell r="AW1634">
            <v>0</v>
          </cell>
          <cell r="AX1634">
            <v>0</v>
          </cell>
          <cell r="AY1634">
            <v>0</v>
          </cell>
          <cell r="AZ1634">
            <v>0</v>
          </cell>
          <cell r="BA1634">
            <v>0</v>
          </cell>
          <cell r="BD1634" t="str">
            <v/>
          </cell>
          <cell r="BE1634">
            <v>1</v>
          </cell>
          <cell r="BG1634" t="str">
            <v>1100</v>
          </cell>
        </row>
        <row r="1635">
          <cell r="B1635" t="str">
            <v>G322020206100100</v>
          </cell>
          <cell r="C1635" t="str">
            <v>32.島根県</v>
          </cell>
          <cell r="D1635" t="str">
            <v>202</v>
          </cell>
          <cell r="E1635" t="str">
            <v>浜田市</v>
          </cell>
          <cell r="F1635" t="str">
            <v>02</v>
          </cell>
          <cell r="G1635" t="str">
            <v>特環 単独</v>
          </cell>
          <cell r="H1635" t="str">
            <v>特定環境保全公共下水道</v>
          </cell>
          <cell r="I1635" t="str">
            <v>単独</v>
          </cell>
          <cell r="J1635" t="str">
            <v>001</v>
          </cell>
          <cell r="K1635" t="str">
            <v>三保三隅浄化センター</v>
          </cell>
          <cell r="M1635" t="str">
            <v>1</v>
          </cell>
          <cell r="N1635" t="str">
            <v>1</v>
          </cell>
          <cell r="Q1635">
            <v>37257</v>
          </cell>
          <cell r="R1635" t="str">
            <v>平成</v>
          </cell>
          <cell r="S1635">
            <v>14</v>
          </cell>
          <cell r="T1635">
            <v>1</v>
          </cell>
          <cell r="AB1635">
            <v>4419</v>
          </cell>
          <cell r="AC1635" t="str">
            <v>設定なし</v>
          </cell>
          <cell r="AF1635">
            <v>15</v>
          </cell>
          <cell r="AJ1635" t="str">
            <v>三隅川</v>
          </cell>
          <cell r="AQ1635" t="str">
            <v/>
          </cell>
          <cell r="AR1635" t="str">
            <v>オキシディションディッチ法</v>
          </cell>
          <cell r="AS1635" t="str">
            <v>3220202001</v>
          </cell>
          <cell r="AT1635" t="str">
            <v/>
          </cell>
          <cell r="AU1635" t="str">
            <v>10</v>
          </cell>
          <cell r="AV1635" t="str">
            <v>10</v>
          </cell>
          <cell r="AW1635">
            <v>0</v>
          </cell>
          <cell r="AX1635">
            <v>0</v>
          </cell>
          <cell r="AY1635">
            <v>0</v>
          </cell>
          <cell r="AZ1635">
            <v>0</v>
          </cell>
          <cell r="BA1635">
            <v>0</v>
          </cell>
          <cell r="BD1635" t="str">
            <v/>
          </cell>
          <cell r="BE1635">
            <v>1</v>
          </cell>
          <cell r="BG1635" t="str">
            <v>1100</v>
          </cell>
        </row>
        <row r="1636">
          <cell r="B1636" t="str">
            <v>G322020206100200</v>
          </cell>
          <cell r="C1636" t="str">
            <v>32.島根県</v>
          </cell>
          <cell r="D1636" t="str">
            <v>202</v>
          </cell>
          <cell r="E1636" t="str">
            <v>浜田市</v>
          </cell>
          <cell r="F1636" t="str">
            <v>02</v>
          </cell>
          <cell r="G1636" t="str">
            <v>特環 単独</v>
          </cell>
          <cell r="H1636" t="str">
            <v>特定環境保全公共下水道</v>
          </cell>
          <cell r="I1636" t="str">
            <v>単独</v>
          </cell>
          <cell r="J1636" t="str">
            <v>002</v>
          </cell>
          <cell r="K1636" t="str">
            <v>国府浄化センター</v>
          </cell>
          <cell r="M1636" t="str">
            <v>1</v>
          </cell>
          <cell r="N1636" t="str">
            <v>1</v>
          </cell>
          <cell r="Q1636">
            <v>38443</v>
          </cell>
          <cell r="R1636" t="str">
            <v>平成</v>
          </cell>
          <cell r="S1636">
            <v>17</v>
          </cell>
          <cell r="T1636">
            <v>4</v>
          </cell>
          <cell r="AB1636">
            <v>9000</v>
          </cell>
          <cell r="AC1636" t="str">
            <v>設定なし</v>
          </cell>
          <cell r="AF1636">
            <v>15</v>
          </cell>
          <cell r="AJ1636" t="str">
            <v>下府川</v>
          </cell>
          <cell r="AL1636" t="str">
            <v>国府水源</v>
          </cell>
          <cell r="AM1636">
            <v>3</v>
          </cell>
          <cell r="AO1636" t="str">
            <v>浜田市</v>
          </cell>
          <cell r="AQ1636" t="str">
            <v/>
          </cell>
          <cell r="AR1636" t="str">
            <v>長時間エアレーション法</v>
          </cell>
          <cell r="AS1636" t="str">
            <v>3220202002</v>
          </cell>
          <cell r="AT1636" t="str">
            <v/>
          </cell>
          <cell r="AU1636" t="str">
            <v>10</v>
          </cell>
          <cell r="AV1636" t="str">
            <v>10</v>
          </cell>
          <cell r="AW1636">
            <v>0</v>
          </cell>
          <cell r="AX1636">
            <v>0</v>
          </cell>
          <cell r="AY1636">
            <v>0</v>
          </cell>
          <cell r="AZ1636">
            <v>0</v>
          </cell>
          <cell r="BA1636">
            <v>0</v>
          </cell>
          <cell r="BD1636" t="str">
            <v/>
          </cell>
          <cell r="BE1636">
            <v>1</v>
          </cell>
          <cell r="BG1636" t="str">
            <v>1100</v>
          </cell>
        </row>
        <row r="1637">
          <cell r="B1637" t="str">
            <v>G322020206100300</v>
          </cell>
          <cell r="C1637" t="str">
            <v>32.島根県</v>
          </cell>
          <cell r="D1637" t="str">
            <v>202</v>
          </cell>
          <cell r="E1637" t="str">
            <v>浜田市</v>
          </cell>
          <cell r="F1637" t="str">
            <v>02</v>
          </cell>
          <cell r="G1637" t="str">
            <v>特環 単独</v>
          </cell>
          <cell r="H1637" t="str">
            <v>特定環境保全公共下水道</v>
          </cell>
          <cell r="I1637" t="str">
            <v>単独</v>
          </cell>
          <cell r="J1637" t="str">
            <v>003</v>
          </cell>
          <cell r="K1637" t="str">
            <v>旭浄化センター</v>
          </cell>
          <cell r="M1637" t="str">
            <v>1</v>
          </cell>
          <cell r="N1637" t="str">
            <v>1</v>
          </cell>
          <cell r="O1637" t="str">
            <v>1</v>
          </cell>
          <cell r="Q1637">
            <v>38443</v>
          </cell>
          <cell r="R1637" t="str">
            <v>平成</v>
          </cell>
          <cell r="S1637">
            <v>17</v>
          </cell>
          <cell r="T1637">
            <v>4</v>
          </cell>
          <cell r="AB1637">
            <v>4260</v>
          </cell>
          <cell r="AC1637" t="str">
            <v>設定なし</v>
          </cell>
          <cell r="AF1637">
            <v>15</v>
          </cell>
          <cell r="AI1637" t="str">
            <v>家古屋川</v>
          </cell>
          <cell r="AL1637" t="str">
            <v>八戸水源</v>
          </cell>
          <cell r="AN1637">
            <v>12.8</v>
          </cell>
          <cell r="AO1637" t="str">
            <v>江津市</v>
          </cell>
          <cell r="AQ1637" t="str">
            <v/>
          </cell>
          <cell r="AR1637" t="str">
            <v>オキシディションディッチ法</v>
          </cell>
          <cell r="AS1637" t="str">
            <v>3220202003</v>
          </cell>
          <cell r="AT1637" t="str">
            <v/>
          </cell>
          <cell r="AU1637" t="str">
            <v>11</v>
          </cell>
          <cell r="AV1637" t="str">
            <v>11</v>
          </cell>
          <cell r="AW1637">
            <v>0</v>
          </cell>
          <cell r="AX1637">
            <v>0</v>
          </cell>
          <cell r="AY1637">
            <v>0</v>
          </cell>
          <cell r="AZ1637">
            <v>0</v>
          </cell>
          <cell r="BA1637">
            <v>0</v>
          </cell>
          <cell r="BD1637" t="str">
            <v/>
          </cell>
          <cell r="BE1637">
            <v>1</v>
          </cell>
          <cell r="BG1637" t="str">
            <v>1110</v>
          </cell>
        </row>
        <row r="1638">
          <cell r="B1638" t="str">
            <v>G322030206100100</v>
          </cell>
          <cell r="C1638" t="str">
            <v>32.島根県</v>
          </cell>
          <cell r="D1638" t="str">
            <v>203</v>
          </cell>
          <cell r="E1638" t="str">
            <v>出雲市</v>
          </cell>
          <cell r="F1638" t="str">
            <v>02</v>
          </cell>
          <cell r="G1638" t="str">
            <v>特環 単独</v>
          </cell>
          <cell r="H1638" t="str">
            <v>特定環境保全公共下水道</v>
          </cell>
          <cell r="I1638" t="str">
            <v>単独</v>
          </cell>
          <cell r="J1638" t="str">
            <v>001</v>
          </cell>
          <cell r="K1638" t="str">
            <v>田岐浄化センター</v>
          </cell>
          <cell r="M1638" t="str">
            <v>1</v>
          </cell>
          <cell r="N1638" t="str">
            <v>1</v>
          </cell>
          <cell r="Q1638">
            <v>32325</v>
          </cell>
          <cell r="R1638" t="str">
            <v>昭和</v>
          </cell>
          <cell r="S1638">
            <v>63</v>
          </cell>
          <cell r="T1638">
            <v>7</v>
          </cell>
          <cell r="AB1638">
            <v>3100</v>
          </cell>
          <cell r="AF1638">
            <v>15</v>
          </cell>
          <cell r="AI1638" t="str">
            <v>小田川</v>
          </cell>
          <cell r="AQ1638" t="str">
            <v/>
          </cell>
          <cell r="AR1638" t="str">
            <v>オキシディションディッチ法</v>
          </cell>
          <cell r="AS1638" t="str">
            <v>3220302001</v>
          </cell>
          <cell r="AT1638" t="str">
            <v/>
          </cell>
          <cell r="AU1638" t="str">
            <v>10</v>
          </cell>
          <cell r="AV1638" t="str">
            <v>10</v>
          </cell>
          <cell r="AW1638">
            <v>0</v>
          </cell>
          <cell r="AX1638">
            <v>0</v>
          </cell>
          <cell r="AY1638">
            <v>0</v>
          </cell>
          <cell r="AZ1638">
            <v>0</v>
          </cell>
          <cell r="BA1638">
            <v>0</v>
          </cell>
          <cell r="BD1638" t="str">
            <v/>
          </cell>
          <cell r="BE1638">
            <v>1</v>
          </cell>
          <cell r="BG1638" t="str">
            <v>1100</v>
          </cell>
        </row>
        <row r="1639">
          <cell r="B1639" t="str">
            <v>G322030206100200</v>
          </cell>
          <cell r="C1639" t="str">
            <v>32.島根県</v>
          </cell>
          <cell r="D1639" t="str">
            <v>203</v>
          </cell>
          <cell r="E1639" t="str">
            <v>出雲市</v>
          </cell>
          <cell r="F1639" t="str">
            <v>02</v>
          </cell>
          <cell r="G1639" t="str">
            <v>特環 単独</v>
          </cell>
          <cell r="H1639" t="str">
            <v>特定環境保全公共下水道</v>
          </cell>
          <cell r="I1639" t="str">
            <v>単独</v>
          </cell>
          <cell r="J1639" t="str">
            <v>002</v>
          </cell>
          <cell r="K1639" t="str">
            <v>口田儀浄化センター</v>
          </cell>
          <cell r="M1639" t="str">
            <v>1</v>
          </cell>
          <cell r="N1639" t="str">
            <v>1</v>
          </cell>
          <cell r="Q1639">
            <v>32629</v>
          </cell>
          <cell r="R1639" t="str">
            <v>平成</v>
          </cell>
          <cell r="S1639">
            <v>1</v>
          </cell>
          <cell r="T1639">
            <v>5</v>
          </cell>
          <cell r="AB1639">
            <v>3400</v>
          </cell>
          <cell r="AF1639">
            <v>15</v>
          </cell>
          <cell r="AJ1639" t="str">
            <v>田儀川</v>
          </cell>
          <cell r="AL1639" t="str">
            <v>第一水源地</v>
          </cell>
          <cell r="AM1639">
            <v>1.2</v>
          </cell>
          <cell r="AO1639" t="str">
            <v>出雲市</v>
          </cell>
          <cell r="AQ1639" t="str">
            <v/>
          </cell>
          <cell r="AR1639" t="str">
            <v>オキシディションディッチ法</v>
          </cell>
          <cell r="AS1639" t="str">
            <v>3220302002</v>
          </cell>
          <cell r="AT1639" t="str">
            <v/>
          </cell>
          <cell r="AU1639" t="str">
            <v>10</v>
          </cell>
          <cell r="AV1639" t="str">
            <v>10</v>
          </cell>
          <cell r="AW1639">
            <v>0</v>
          </cell>
          <cell r="AX1639">
            <v>0</v>
          </cell>
          <cell r="AY1639">
            <v>0</v>
          </cell>
          <cell r="AZ1639">
            <v>0</v>
          </cell>
          <cell r="BA1639">
            <v>0</v>
          </cell>
          <cell r="BD1639" t="str">
            <v/>
          </cell>
          <cell r="BE1639">
            <v>1</v>
          </cell>
          <cell r="BG1639" t="str">
            <v>1100</v>
          </cell>
        </row>
        <row r="1640">
          <cell r="B1640" t="str">
            <v>G322030206100300</v>
          </cell>
          <cell r="C1640" t="str">
            <v>32.島根県</v>
          </cell>
          <cell r="D1640" t="str">
            <v>203</v>
          </cell>
          <cell r="E1640" t="str">
            <v>出雲市</v>
          </cell>
          <cell r="F1640" t="str">
            <v>02</v>
          </cell>
          <cell r="G1640" t="str">
            <v>特環 単独</v>
          </cell>
          <cell r="H1640" t="str">
            <v>特定環境保全公共下水道</v>
          </cell>
          <cell r="I1640" t="str">
            <v>単独</v>
          </cell>
          <cell r="J1640" t="str">
            <v>003</v>
          </cell>
          <cell r="K1640" t="str">
            <v>河下浄化センター</v>
          </cell>
          <cell r="M1640" t="str">
            <v>1</v>
          </cell>
          <cell r="N1640" t="str">
            <v>1</v>
          </cell>
          <cell r="Q1640">
            <v>39904</v>
          </cell>
          <cell r="R1640" t="str">
            <v>平成</v>
          </cell>
          <cell r="S1640">
            <v>21</v>
          </cell>
          <cell r="T1640">
            <v>4</v>
          </cell>
          <cell r="AB1640">
            <v>1207</v>
          </cell>
          <cell r="AF1640">
            <v>15</v>
          </cell>
          <cell r="AI1640" t="str">
            <v>日本海</v>
          </cell>
          <cell r="AQ1640" t="str">
            <v/>
          </cell>
          <cell r="AR1640" t="str">
            <v>オキシディションディッチ法</v>
          </cell>
          <cell r="AS1640" t="str">
            <v>3220302003</v>
          </cell>
          <cell r="AT1640" t="str">
            <v/>
          </cell>
          <cell r="AU1640" t="str">
            <v>10</v>
          </cell>
          <cell r="AV1640" t="str">
            <v>10</v>
          </cell>
          <cell r="AW1640">
            <v>0</v>
          </cell>
          <cell r="AX1640">
            <v>0</v>
          </cell>
          <cell r="AY1640">
            <v>0</v>
          </cell>
          <cell r="AZ1640">
            <v>0</v>
          </cell>
          <cell r="BA1640">
            <v>0</v>
          </cell>
          <cell r="BD1640" t="str">
            <v/>
          </cell>
          <cell r="BE1640">
            <v>1</v>
          </cell>
          <cell r="BG1640" t="str">
            <v>1100</v>
          </cell>
        </row>
        <row r="1641">
          <cell r="B1641" t="str">
            <v>G322040106100100</v>
          </cell>
          <cell r="C1641" t="str">
            <v>32.島根県</v>
          </cell>
          <cell r="D1641" t="str">
            <v>204</v>
          </cell>
          <cell r="E1641" t="str">
            <v>益田市</v>
          </cell>
          <cell r="F1641" t="str">
            <v>01</v>
          </cell>
          <cell r="G1641" t="str">
            <v>公共 単独</v>
          </cell>
          <cell r="H1641" t="str">
            <v>公共下水道</v>
          </cell>
          <cell r="I1641" t="str">
            <v>単独</v>
          </cell>
          <cell r="J1641" t="str">
            <v>001</v>
          </cell>
          <cell r="K1641" t="str">
            <v>益田水質管理センター</v>
          </cell>
          <cell r="M1641" t="str">
            <v>1</v>
          </cell>
          <cell r="N1641" t="str">
            <v>1</v>
          </cell>
          <cell r="Q1641">
            <v>39918</v>
          </cell>
          <cell r="R1641" t="str">
            <v>平成</v>
          </cell>
          <cell r="S1641">
            <v>21</v>
          </cell>
          <cell r="T1641">
            <v>4</v>
          </cell>
          <cell r="AB1641">
            <v>37000</v>
          </cell>
          <cell r="AC1641" t="str">
            <v>益田川</v>
          </cell>
          <cell r="AF1641">
            <v>15</v>
          </cell>
          <cell r="AJ1641" t="str">
            <v>益田川</v>
          </cell>
          <cell r="AL1641" t="str">
            <v>無し</v>
          </cell>
          <cell r="AQ1641" t="str">
            <v/>
          </cell>
          <cell r="AR1641" t="str">
            <v>オキシディションディッチ法</v>
          </cell>
          <cell r="AS1641" t="str">
            <v>3220401001</v>
          </cell>
          <cell r="AT1641" t="str">
            <v/>
          </cell>
          <cell r="AU1641" t="str">
            <v>10</v>
          </cell>
          <cell r="AV1641" t="str">
            <v>10</v>
          </cell>
          <cell r="AW1641">
            <v>0</v>
          </cell>
          <cell r="AX1641">
            <v>0</v>
          </cell>
          <cell r="AY1641">
            <v>0</v>
          </cell>
          <cell r="AZ1641">
            <v>0</v>
          </cell>
          <cell r="BA1641">
            <v>0</v>
          </cell>
          <cell r="BD1641" t="str">
            <v/>
          </cell>
          <cell r="BE1641">
            <v>1</v>
          </cell>
          <cell r="BG1641" t="str">
            <v>1100</v>
          </cell>
        </row>
        <row r="1642">
          <cell r="B1642" t="str">
            <v>G322050106100100</v>
          </cell>
          <cell r="C1642" t="str">
            <v>32.島根県</v>
          </cell>
          <cell r="D1642" t="str">
            <v>205</v>
          </cell>
          <cell r="E1642" t="str">
            <v>大田市</v>
          </cell>
          <cell r="F1642" t="str">
            <v>01</v>
          </cell>
          <cell r="G1642" t="str">
            <v>公共 単独</v>
          </cell>
          <cell r="H1642" t="str">
            <v>公共下水道</v>
          </cell>
          <cell r="I1642" t="str">
            <v>単独</v>
          </cell>
          <cell r="J1642" t="str">
            <v>001</v>
          </cell>
          <cell r="K1642" t="str">
            <v>大田浄化センター</v>
          </cell>
          <cell r="M1642" t="str">
            <v>1</v>
          </cell>
          <cell r="N1642" t="str">
            <v>1</v>
          </cell>
          <cell r="Q1642">
            <v>39903</v>
          </cell>
          <cell r="R1642" t="str">
            <v>平成</v>
          </cell>
          <cell r="S1642">
            <v>21</v>
          </cell>
          <cell r="T1642">
            <v>3</v>
          </cell>
          <cell r="AB1642">
            <v>15539</v>
          </cell>
          <cell r="AF1642">
            <v>10</v>
          </cell>
          <cell r="AI1642" t="str">
            <v>三瓶川</v>
          </cell>
          <cell r="AJ1642" t="str">
            <v>静間川</v>
          </cell>
          <cell r="AL1642" t="str">
            <v>三瓶ダム</v>
          </cell>
          <cell r="AM1642">
            <v>10</v>
          </cell>
          <cell r="AO1642" t="str">
            <v>大田市</v>
          </cell>
          <cell r="AQ1642" t="str">
            <v/>
          </cell>
          <cell r="AR1642" t="str">
            <v>その他処理方法</v>
          </cell>
          <cell r="AS1642" t="str">
            <v>3220501001</v>
          </cell>
          <cell r="AT1642" t="str">
            <v/>
          </cell>
          <cell r="AU1642" t="str">
            <v>10</v>
          </cell>
          <cell r="AV1642" t="str">
            <v>10</v>
          </cell>
          <cell r="AW1642">
            <v>0</v>
          </cell>
          <cell r="AX1642">
            <v>0</v>
          </cell>
          <cell r="AY1642">
            <v>0</v>
          </cell>
          <cell r="AZ1642">
            <v>0</v>
          </cell>
          <cell r="BA1642">
            <v>0</v>
          </cell>
          <cell r="BD1642" t="str">
            <v/>
          </cell>
          <cell r="BE1642">
            <v>1</v>
          </cell>
          <cell r="BG1642" t="str">
            <v>1100</v>
          </cell>
        </row>
        <row r="1643">
          <cell r="B1643" t="str">
            <v>G322050206100200</v>
          </cell>
          <cell r="C1643" t="str">
            <v>32.島根県</v>
          </cell>
          <cell r="D1643" t="str">
            <v>205</v>
          </cell>
          <cell r="E1643" t="str">
            <v>大田市</v>
          </cell>
          <cell r="F1643" t="str">
            <v>02</v>
          </cell>
          <cell r="G1643" t="str">
            <v>特環 単独</v>
          </cell>
          <cell r="H1643" t="str">
            <v>特定環境保全公共下水道</v>
          </cell>
          <cell r="I1643" t="str">
            <v>単独</v>
          </cell>
          <cell r="J1643" t="str">
            <v>002</v>
          </cell>
          <cell r="K1643" t="str">
            <v>仁摩浄化センター</v>
          </cell>
          <cell r="M1643" t="str">
            <v>1</v>
          </cell>
          <cell r="N1643" t="str">
            <v>1</v>
          </cell>
          <cell r="Q1643">
            <v>39172</v>
          </cell>
          <cell r="R1643" t="str">
            <v>平成</v>
          </cell>
          <cell r="S1643">
            <v>19</v>
          </cell>
          <cell r="T1643">
            <v>3</v>
          </cell>
          <cell r="AB1643">
            <v>4300</v>
          </cell>
          <cell r="AC1643" t="str">
            <v>設定なし</v>
          </cell>
          <cell r="AI1643" t="str">
            <v>潮川</v>
          </cell>
          <cell r="AQ1643" t="str">
            <v/>
          </cell>
          <cell r="AR1643" t="str">
            <v>長時間エアレーション法</v>
          </cell>
          <cell r="AS1643" t="str">
            <v>3220502002</v>
          </cell>
          <cell r="AT1643" t="str">
            <v/>
          </cell>
          <cell r="AU1643" t="str">
            <v>10</v>
          </cell>
          <cell r="AV1643" t="str">
            <v>10</v>
          </cell>
          <cell r="AW1643">
            <v>0</v>
          </cell>
          <cell r="AX1643">
            <v>0</v>
          </cell>
          <cell r="AY1643">
            <v>0</v>
          </cell>
          <cell r="AZ1643">
            <v>0</v>
          </cell>
          <cell r="BA1643">
            <v>0</v>
          </cell>
          <cell r="BD1643" t="str">
            <v/>
          </cell>
          <cell r="BE1643">
            <v>1</v>
          </cell>
          <cell r="BG1643" t="str">
            <v>1100</v>
          </cell>
        </row>
        <row r="1644">
          <cell r="B1644" t="str">
            <v>G322050206100300</v>
          </cell>
          <cell r="C1644" t="str">
            <v>32.島根県</v>
          </cell>
          <cell r="D1644" t="str">
            <v>205</v>
          </cell>
          <cell r="E1644" t="str">
            <v>大田市</v>
          </cell>
          <cell r="F1644" t="str">
            <v>02</v>
          </cell>
          <cell r="G1644" t="str">
            <v>特環 単独</v>
          </cell>
          <cell r="H1644" t="str">
            <v>特定環境保全公共下水道</v>
          </cell>
          <cell r="I1644" t="str">
            <v>単独</v>
          </cell>
          <cell r="J1644" t="str">
            <v>003</v>
          </cell>
          <cell r="K1644" t="str">
            <v>温泉津クリーンセンター</v>
          </cell>
          <cell r="M1644" t="str">
            <v>1</v>
          </cell>
          <cell r="N1644" t="str">
            <v>1</v>
          </cell>
          <cell r="Q1644">
            <v>39660</v>
          </cell>
          <cell r="R1644" t="str">
            <v>平成</v>
          </cell>
          <cell r="S1644">
            <v>20</v>
          </cell>
          <cell r="T1644">
            <v>7</v>
          </cell>
          <cell r="AB1644">
            <v>4000</v>
          </cell>
          <cell r="AC1644" t="str">
            <v>設定なし</v>
          </cell>
          <cell r="AF1644">
            <v>15</v>
          </cell>
          <cell r="AI1644" t="str">
            <v>日本海</v>
          </cell>
          <cell r="AQ1644" t="str">
            <v/>
          </cell>
          <cell r="AR1644" t="str">
            <v>オキシディションディッチ法</v>
          </cell>
          <cell r="AS1644" t="str">
            <v>3220502003</v>
          </cell>
          <cell r="AT1644" t="str">
            <v/>
          </cell>
          <cell r="AU1644" t="str">
            <v>10</v>
          </cell>
          <cell r="AV1644" t="str">
            <v>10</v>
          </cell>
          <cell r="AW1644">
            <v>0</v>
          </cell>
          <cell r="AX1644">
            <v>0</v>
          </cell>
          <cell r="AY1644">
            <v>0</v>
          </cell>
          <cell r="AZ1644">
            <v>0</v>
          </cell>
          <cell r="BA1644">
            <v>0</v>
          </cell>
          <cell r="BD1644" t="str">
            <v/>
          </cell>
          <cell r="BE1644">
            <v>1</v>
          </cell>
          <cell r="BG1644" t="str">
            <v>1100</v>
          </cell>
        </row>
        <row r="1645">
          <cell r="B1645" t="str">
            <v>G322070106100100</v>
          </cell>
          <cell r="C1645" t="str">
            <v>32.島根県</v>
          </cell>
          <cell r="D1645" t="str">
            <v>207</v>
          </cell>
          <cell r="E1645" t="str">
            <v>江津市</v>
          </cell>
          <cell r="F1645" t="str">
            <v>01</v>
          </cell>
          <cell r="G1645" t="str">
            <v>公共 単独</v>
          </cell>
          <cell r="H1645" t="str">
            <v>公共下水道</v>
          </cell>
          <cell r="I1645" t="str">
            <v>単独</v>
          </cell>
          <cell r="J1645" t="str">
            <v>001</v>
          </cell>
          <cell r="K1645" t="str">
            <v>江津西浄化センター</v>
          </cell>
          <cell r="M1645" t="str">
            <v>1</v>
          </cell>
          <cell r="Q1645">
            <v>38808</v>
          </cell>
          <cell r="R1645" t="str">
            <v>平成</v>
          </cell>
          <cell r="S1645">
            <v>18</v>
          </cell>
          <cell r="T1645">
            <v>4</v>
          </cell>
          <cell r="AB1645">
            <v>16000</v>
          </cell>
          <cell r="AC1645" t="str">
            <v>江の川水系</v>
          </cell>
          <cell r="AD1645" t="str">
            <v>Ａ</v>
          </cell>
          <cell r="AE1645" t="str">
            <v>ロ</v>
          </cell>
          <cell r="AF1645">
            <v>15</v>
          </cell>
          <cell r="AI1645" t="str">
            <v>嘉久志東部１号雨水幹線</v>
          </cell>
          <cell r="AQ1645" t="str">
            <v/>
          </cell>
          <cell r="AR1645" t="str">
            <v>嫌気好気ろ床法</v>
          </cell>
          <cell r="AS1645" t="str">
            <v>3220701001</v>
          </cell>
          <cell r="AT1645">
            <v>1</v>
          </cell>
          <cell r="AU1645" t="str">
            <v>00</v>
          </cell>
          <cell r="AV1645" t="str">
            <v>00</v>
          </cell>
          <cell r="AW1645">
            <v>0</v>
          </cell>
          <cell r="AX1645">
            <v>0</v>
          </cell>
          <cell r="AY1645">
            <v>0</v>
          </cell>
          <cell r="AZ1645">
            <v>0</v>
          </cell>
          <cell r="BA1645">
            <v>0</v>
          </cell>
          <cell r="BD1645" t="str">
            <v/>
          </cell>
          <cell r="BE1645">
            <v>1</v>
          </cell>
          <cell r="BG1645" t="str">
            <v>1000</v>
          </cell>
        </row>
        <row r="1646">
          <cell r="B1646" t="str">
            <v>G322070206100200</v>
          </cell>
          <cell r="C1646" t="str">
            <v>32.島根県</v>
          </cell>
          <cell r="D1646" t="str">
            <v>207</v>
          </cell>
          <cell r="E1646" t="str">
            <v>江津市</v>
          </cell>
          <cell r="F1646" t="str">
            <v>02</v>
          </cell>
          <cell r="G1646" t="str">
            <v>特環 単独</v>
          </cell>
          <cell r="H1646" t="str">
            <v>特定環境保全公共下水道</v>
          </cell>
          <cell r="I1646" t="str">
            <v>単独</v>
          </cell>
          <cell r="J1646" t="str">
            <v>002</v>
          </cell>
          <cell r="K1646" t="str">
            <v>波子浄化センター</v>
          </cell>
          <cell r="M1646" t="str">
            <v>1</v>
          </cell>
          <cell r="Q1646">
            <v>38443</v>
          </cell>
          <cell r="R1646" t="str">
            <v>平成</v>
          </cell>
          <cell r="S1646">
            <v>17</v>
          </cell>
          <cell r="T1646">
            <v>4</v>
          </cell>
          <cell r="AB1646">
            <v>4500</v>
          </cell>
          <cell r="AC1646" t="str">
            <v>波子海水浴場</v>
          </cell>
          <cell r="AF1646">
            <v>15</v>
          </cell>
          <cell r="AI1646" t="str">
            <v>曲川</v>
          </cell>
          <cell r="AQ1646" t="str">
            <v/>
          </cell>
          <cell r="AR1646" t="str">
            <v>嫌気好気ろ床法</v>
          </cell>
          <cell r="AS1646" t="str">
            <v>3220702002</v>
          </cell>
          <cell r="AT1646">
            <v>1</v>
          </cell>
          <cell r="AU1646" t="str">
            <v>00</v>
          </cell>
          <cell r="AV1646" t="str">
            <v>00</v>
          </cell>
          <cell r="AW1646">
            <v>0</v>
          </cell>
          <cell r="AX1646">
            <v>0</v>
          </cell>
          <cell r="AY1646">
            <v>0</v>
          </cell>
          <cell r="AZ1646">
            <v>0</v>
          </cell>
          <cell r="BA1646">
            <v>0</v>
          </cell>
          <cell r="BD1646" t="str">
            <v/>
          </cell>
          <cell r="BE1646">
            <v>1</v>
          </cell>
          <cell r="BG1646" t="str">
            <v>1000</v>
          </cell>
        </row>
        <row r="1647">
          <cell r="B1647" t="str">
            <v>G322090106100100</v>
          </cell>
          <cell r="C1647" t="str">
            <v>32.島根県</v>
          </cell>
          <cell r="D1647" t="str">
            <v>209</v>
          </cell>
          <cell r="E1647" t="str">
            <v>雲南市</v>
          </cell>
          <cell r="F1647" t="str">
            <v>01</v>
          </cell>
          <cell r="G1647" t="str">
            <v>公共 単独</v>
          </cell>
          <cell r="H1647" t="str">
            <v>公共下水道</v>
          </cell>
          <cell r="I1647" t="str">
            <v>単独</v>
          </cell>
          <cell r="J1647" t="str">
            <v>001</v>
          </cell>
          <cell r="K1647" t="str">
            <v>木次三刀屋浄化センター</v>
          </cell>
          <cell r="M1647" t="str">
            <v>1</v>
          </cell>
          <cell r="N1647" t="str">
            <v>1</v>
          </cell>
          <cell r="O1647" t="str">
            <v>1</v>
          </cell>
          <cell r="Q1647">
            <v>36251</v>
          </cell>
          <cell r="R1647" t="str">
            <v>平成</v>
          </cell>
          <cell r="S1647">
            <v>11</v>
          </cell>
          <cell r="T1647">
            <v>4</v>
          </cell>
          <cell r="AB1647">
            <v>29000</v>
          </cell>
          <cell r="AC1647" t="str">
            <v>斐伊川</v>
          </cell>
          <cell r="AD1647" t="str">
            <v>ＡＡ</v>
          </cell>
          <cell r="AE1647" t="str">
            <v>ロ</v>
          </cell>
          <cell r="AF1647">
            <v>10</v>
          </cell>
          <cell r="AG1647">
            <v>10</v>
          </cell>
          <cell r="AH1647">
            <v>2.4</v>
          </cell>
          <cell r="AK1647" t="str">
            <v>請川</v>
          </cell>
          <cell r="AQ1647" t="str">
            <v/>
          </cell>
          <cell r="AR1647" t="str">
            <v>オキシディションディッチ法</v>
          </cell>
          <cell r="AS1647" t="str">
            <v>3220901001</v>
          </cell>
          <cell r="AT1647" t="str">
            <v/>
          </cell>
          <cell r="AU1647" t="str">
            <v>11</v>
          </cell>
          <cell r="AV1647" t="str">
            <v>10</v>
          </cell>
          <cell r="AW1647">
            <v>0</v>
          </cell>
          <cell r="AX1647">
            <v>0</v>
          </cell>
          <cell r="AY1647">
            <v>-1</v>
          </cell>
          <cell r="AZ1647">
            <v>0</v>
          </cell>
          <cell r="BA1647">
            <v>1</v>
          </cell>
          <cell r="BC1647" t="str">
            <v>コンポスト休止</v>
          </cell>
          <cell r="BD1647" t="str">
            <v>コンポスト休止</v>
          </cell>
          <cell r="BE1647">
            <v>1</v>
          </cell>
          <cell r="BG1647" t="str">
            <v>1110</v>
          </cell>
        </row>
        <row r="1648">
          <cell r="B1648" t="str">
            <v>G322090206100200</v>
          </cell>
          <cell r="C1648" t="str">
            <v>32.島根県</v>
          </cell>
          <cell r="D1648" t="str">
            <v>209</v>
          </cell>
          <cell r="E1648" t="str">
            <v>雲南市</v>
          </cell>
          <cell r="F1648" t="str">
            <v>02</v>
          </cell>
          <cell r="G1648" t="str">
            <v>特環 単独</v>
          </cell>
          <cell r="H1648" t="str">
            <v>特定環境保全公共下水道</v>
          </cell>
          <cell r="I1648" t="str">
            <v>単独</v>
          </cell>
          <cell r="J1648" t="str">
            <v>002</v>
          </cell>
          <cell r="K1648" t="str">
            <v>加茂浄化センター</v>
          </cell>
          <cell r="M1648" t="str">
            <v>1</v>
          </cell>
          <cell r="N1648" t="str">
            <v>1</v>
          </cell>
          <cell r="Q1648">
            <v>34608</v>
          </cell>
          <cell r="R1648" t="str">
            <v>平成</v>
          </cell>
          <cell r="S1648">
            <v>6</v>
          </cell>
          <cell r="T1648">
            <v>10</v>
          </cell>
          <cell r="AB1648">
            <v>5000</v>
          </cell>
          <cell r="AC1648" t="str">
            <v>斐伊川</v>
          </cell>
          <cell r="AD1648" t="str">
            <v>ＡＡ</v>
          </cell>
          <cell r="AE1648" t="str">
            <v>ロ</v>
          </cell>
          <cell r="AF1648">
            <v>10</v>
          </cell>
          <cell r="AG1648">
            <v>10</v>
          </cell>
          <cell r="AH1648">
            <v>2.4</v>
          </cell>
          <cell r="AI1648" t="str">
            <v>内原川</v>
          </cell>
          <cell r="AK1648" t="str">
            <v>斐伊川</v>
          </cell>
          <cell r="AQ1648" t="str">
            <v/>
          </cell>
          <cell r="AR1648" t="str">
            <v>嫌気好気活性汚泥法</v>
          </cell>
          <cell r="AS1648" t="str">
            <v>3220902002</v>
          </cell>
          <cell r="AT1648" t="str">
            <v/>
          </cell>
          <cell r="AU1648" t="str">
            <v>10</v>
          </cell>
          <cell r="AV1648" t="str">
            <v>10</v>
          </cell>
          <cell r="AW1648">
            <v>0</v>
          </cell>
          <cell r="AX1648">
            <v>0</v>
          </cell>
          <cell r="AY1648">
            <v>0</v>
          </cell>
          <cell r="AZ1648">
            <v>0</v>
          </cell>
          <cell r="BA1648">
            <v>0</v>
          </cell>
          <cell r="BD1648" t="str">
            <v/>
          </cell>
          <cell r="BE1648">
            <v>1</v>
          </cell>
          <cell r="BG1648" t="str">
            <v>1100</v>
          </cell>
        </row>
        <row r="1649">
          <cell r="B1649" t="str">
            <v>G322090206100300</v>
          </cell>
          <cell r="C1649" t="str">
            <v>32.島根県</v>
          </cell>
          <cell r="D1649" t="str">
            <v>209</v>
          </cell>
          <cell r="E1649" t="str">
            <v>雲南市</v>
          </cell>
          <cell r="F1649" t="str">
            <v>02</v>
          </cell>
          <cell r="G1649" t="str">
            <v>特環 単独</v>
          </cell>
          <cell r="H1649" t="str">
            <v>特定環境保全公共下水道</v>
          </cell>
          <cell r="I1649" t="str">
            <v>単独</v>
          </cell>
          <cell r="J1649" t="str">
            <v>003</v>
          </cell>
          <cell r="K1649" t="str">
            <v>大東浄化センター</v>
          </cell>
          <cell r="M1649" t="str">
            <v>1</v>
          </cell>
          <cell r="N1649" t="str">
            <v>1</v>
          </cell>
          <cell r="Q1649">
            <v>38991</v>
          </cell>
          <cell r="R1649" t="str">
            <v>平成</v>
          </cell>
          <cell r="S1649">
            <v>18</v>
          </cell>
          <cell r="T1649">
            <v>10</v>
          </cell>
          <cell r="AB1649">
            <v>7100</v>
          </cell>
          <cell r="AC1649" t="str">
            <v>斐伊川</v>
          </cell>
          <cell r="AD1649" t="str">
            <v>ＡＡ</v>
          </cell>
          <cell r="AE1649" t="str">
            <v>ロ</v>
          </cell>
          <cell r="AF1649">
            <v>10</v>
          </cell>
          <cell r="AG1649">
            <v>10</v>
          </cell>
          <cell r="AH1649">
            <v>2.4</v>
          </cell>
          <cell r="AI1649" t="str">
            <v>大月谷川</v>
          </cell>
          <cell r="AK1649" t="str">
            <v>斐伊川</v>
          </cell>
          <cell r="AQ1649" t="str">
            <v/>
          </cell>
          <cell r="AR1649" t="str">
            <v>その他処理方法</v>
          </cell>
          <cell r="AS1649" t="str">
            <v>3220902003</v>
          </cell>
          <cell r="AT1649" t="str">
            <v/>
          </cell>
          <cell r="AU1649" t="str">
            <v>10</v>
          </cell>
          <cell r="AV1649" t="str">
            <v>10</v>
          </cell>
          <cell r="AW1649">
            <v>0</v>
          </cell>
          <cell r="AX1649">
            <v>0</v>
          </cell>
          <cell r="AY1649">
            <v>0</v>
          </cell>
          <cell r="AZ1649">
            <v>0</v>
          </cell>
          <cell r="BA1649">
            <v>0</v>
          </cell>
          <cell r="BD1649" t="str">
            <v/>
          </cell>
          <cell r="BE1649">
            <v>1</v>
          </cell>
          <cell r="BG1649" t="str">
            <v>1100</v>
          </cell>
        </row>
        <row r="1650">
          <cell r="B1650" t="str">
            <v>G323430106100100</v>
          </cell>
          <cell r="C1650" t="str">
            <v>32.島根県</v>
          </cell>
          <cell r="D1650" t="str">
            <v>343</v>
          </cell>
          <cell r="E1650" t="str">
            <v>奥出雲町</v>
          </cell>
          <cell r="F1650" t="str">
            <v>01</v>
          </cell>
          <cell r="G1650" t="str">
            <v>公共 単独</v>
          </cell>
          <cell r="H1650" t="str">
            <v>公共下水道</v>
          </cell>
          <cell r="I1650" t="str">
            <v>単独</v>
          </cell>
          <cell r="J1650" t="str">
            <v>001</v>
          </cell>
          <cell r="K1650" t="str">
            <v>横田浄化センター</v>
          </cell>
          <cell r="M1650" t="str">
            <v>1</v>
          </cell>
          <cell r="N1650" t="str">
            <v>1</v>
          </cell>
          <cell r="Q1650">
            <v>36617</v>
          </cell>
          <cell r="R1650" t="str">
            <v>平成</v>
          </cell>
          <cell r="S1650">
            <v>12</v>
          </cell>
          <cell r="T1650">
            <v>4</v>
          </cell>
          <cell r="AB1650">
            <v>3937</v>
          </cell>
          <cell r="AC1650" t="str">
            <v>斐伊川</v>
          </cell>
          <cell r="AD1650" t="str">
            <v>ＡＡ</v>
          </cell>
          <cell r="AF1650">
            <v>10</v>
          </cell>
          <cell r="AG1650">
            <v>10</v>
          </cell>
          <cell r="AH1650">
            <v>2.4</v>
          </cell>
          <cell r="AK1650" t="str">
            <v>下横田川</v>
          </cell>
          <cell r="AL1650" t="str">
            <v>下横田水源</v>
          </cell>
          <cell r="AM1650">
            <v>0.5</v>
          </cell>
          <cell r="AO1650" t="str">
            <v>奥出雲町</v>
          </cell>
          <cell r="AQ1650" t="str">
            <v/>
          </cell>
          <cell r="AR1650" t="str">
            <v>オキシディションディッチ法</v>
          </cell>
          <cell r="AS1650" t="str">
            <v>3234301001</v>
          </cell>
          <cell r="AT1650" t="str">
            <v/>
          </cell>
          <cell r="AU1650" t="str">
            <v>10</v>
          </cell>
          <cell r="AV1650" t="str">
            <v>10</v>
          </cell>
          <cell r="AW1650">
            <v>0</v>
          </cell>
          <cell r="AX1650">
            <v>0</v>
          </cell>
          <cell r="AY1650">
            <v>0</v>
          </cell>
          <cell r="AZ1650">
            <v>0</v>
          </cell>
          <cell r="BA1650">
            <v>0</v>
          </cell>
          <cell r="BD1650" t="str">
            <v/>
          </cell>
          <cell r="BE1650">
            <v>1</v>
          </cell>
          <cell r="BG1650" t="str">
            <v>1100</v>
          </cell>
        </row>
        <row r="1651">
          <cell r="B1651" t="str">
            <v>G323430206100200</v>
          </cell>
          <cell r="C1651" t="str">
            <v>32.島根県</v>
          </cell>
          <cell r="D1651" t="str">
            <v>343</v>
          </cell>
          <cell r="E1651" t="str">
            <v>奥出雲町</v>
          </cell>
          <cell r="F1651" t="str">
            <v>02</v>
          </cell>
          <cell r="G1651" t="str">
            <v>特環 単独</v>
          </cell>
          <cell r="H1651" t="str">
            <v>特定環境保全公共下水道</v>
          </cell>
          <cell r="I1651" t="str">
            <v>単独</v>
          </cell>
          <cell r="J1651" t="str">
            <v>002</v>
          </cell>
          <cell r="K1651" t="str">
            <v>三成浄化センター</v>
          </cell>
          <cell r="M1651" t="str">
            <v>1</v>
          </cell>
          <cell r="N1651" t="str">
            <v>1</v>
          </cell>
          <cell r="Q1651">
            <v>35886</v>
          </cell>
          <cell r="R1651" t="str">
            <v>平成</v>
          </cell>
          <cell r="S1651">
            <v>10</v>
          </cell>
          <cell r="T1651">
            <v>4</v>
          </cell>
          <cell r="AB1651">
            <v>8648</v>
          </cell>
          <cell r="AC1651" t="str">
            <v>斐伊川</v>
          </cell>
          <cell r="AD1651" t="str">
            <v>ＡＡ</v>
          </cell>
          <cell r="AF1651">
            <v>15</v>
          </cell>
          <cell r="AG1651">
            <v>20</v>
          </cell>
          <cell r="AH1651">
            <v>3</v>
          </cell>
          <cell r="AK1651" t="str">
            <v>斐伊川</v>
          </cell>
          <cell r="AL1651" t="str">
            <v>美女原水源</v>
          </cell>
          <cell r="AM1651">
            <v>0.3</v>
          </cell>
          <cell r="AO1651" t="str">
            <v>奥出雲町</v>
          </cell>
          <cell r="AQ1651" t="str">
            <v/>
          </cell>
          <cell r="AR1651" t="str">
            <v>オキシディションディッチ法</v>
          </cell>
          <cell r="AS1651" t="str">
            <v>3234302002</v>
          </cell>
          <cell r="AT1651" t="str">
            <v/>
          </cell>
          <cell r="AU1651" t="str">
            <v>10</v>
          </cell>
          <cell r="AV1651" t="str">
            <v>10</v>
          </cell>
          <cell r="AW1651">
            <v>0</v>
          </cell>
          <cell r="AX1651">
            <v>0</v>
          </cell>
          <cell r="AY1651">
            <v>0</v>
          </cell>
          <cell r="AZ1651">
            <v>0</v>
          </cell>
          <cell r="BA1651">
            <v>0</v>
          </cell>
          <cell r="BD1651" t="str">
            <v/>
          </cell>
          <cell r="BE1651">
            <v>1</v>
          </cell>
          <cell r="BG1651" t="str">
            <v>1100</v>
          </cell>
        </row>
        <row r="1652">
          <cell r="B1652" t="str">
            <v>G323860206100100</v>
          </cell>
          <cell r="C1652" t="str">
            <v>32.島根県</v>
          </cell>
          <cell r="D1652" t="str">
            <v>386</v>
          </cell>
          <cell r="E1652" t="str">
            <v>飯南町</v>
          </cell>
          <cell r="F1652" t="str">
            <v>02</v>
          </cell>
          <cell r="G1652" t="str">
            <v>特環 単独</v>
          </cell>
          <cell r="H1652" t="str">
            <v>特定環境保全公共下水道</v>
          </cell>
          <cell r="I1652" t="str">
            <v>単独</v>
          </cell>
          <cell r="J1652" t="str">
            <v>001</v>
          </cell>
          <cell r="K1652" t="str">
            <v>赤来浄化センター</v>
          </cell>
          <cell r="M1652" t="str">
            <v>1</v>
          </cell>
          <cell r="N1652" t="str">
            <v>1</v>
          </cell>
          <cell r="Q1652">
            <v>36861</v>
          </cell>
          <cell r="R1652" t="str">
            <v>平成</v>
          </cell>
          <cell r="S1652">
            <v>12</v>
          </cell>
          <cell r="T1652">
            <v>12</v>
          </cell>
          <cell r="AB1652">
            <v>3400</v>
          </cell>
          <cell r="AC1652" t="str">
            <v>神戸川</v>
          </cell>
          <cell r="AD1652" t="str">
            <v>ＡＡ</v>
          </cell>
          <cell r="AE1652" t="str">
            <v>ロ</v>
          </cell>
          <cell r="AF1652">
            <v>15</v>
          </cell>
          <cell r="AK1652" t="str">
            <v>神戸川</v>
          </cell>
          <cell r="AQ1652" t="str">
            <v/>
          </cell>
          <cell r="AR1652" t="str">
            <v>オキシディションディッチ法</v>
          </cell>
          <cell r="AS1652" t="str">
            <v>3238602001</v>
          </cell>
          <cell r="AT1652" t="str">
            <v/>
          </cell>
          <cell r="AU1652" t="str">
            <v>10</v>
          </cell>
          <cell r="AV1652" t="str">
            <v>10</v>
          </cell>
          <cell r="AW1652">
            <v>0</v>
          </cell>
          <cell r="AX1652">
            <v>0</v>
          </cell>
          <cell r="AY1652">
            <v>0</v>
          </cell>
          <cell r="AZ1652">
            <v>0</v>
          </cell>
          <cell r="BA1652">
            <v>0</v>
          </cell>
          <cell r="BD1652" t="str">
            <v/>
          </cell>
          <cell r="BE1652">
            <v>1</v>
          </cell>
          <cell r="BG1652" t="str">
            <v>1100</v>
          </cell>
        </row>
        <row r="1653">
          <cell r="B1653" t="str">
            <v>G323860206100200</v>
          </cell>
          <cell r="C1653" t="str">
            <v>32.島根県</v>
          </cell>
          <cell r="D1653" t="str">
            <v>386</v>
          </cell>
          <cell r="E1653" t="str">
            <v>飯南町</v>
          </cell>
          <cell r="F1653" t="str">
            <v>02</v>
          </cell>
          <cell r="G1653" t="str">
            <v>特環 単独</v>
          </cell>
          <cell r="H1653" t="str">
            <v>特定環境保全公共下水道</v>
          </cell>
          <cell r="I1653" t="str">
            <v>単独</v>
          </cell>
          <cell r="J1653" t="str">
            <v>002</v>
          </cell>
          <cell r="K1653" t="str">
            <v>頓原浄化センター</v>
          </cell>
          <cell r="M1653" t="str">
            <v>1</v>
          </cell>
          <cell r="N1653" t="str">
            <v>1</v>
          </cell>
          <cell r="Q1653">
            <v>37347</v>
          </cell>
          <cell r="R1653" t="str">
            <v>平成</v>
          </cell>
          <cell r="S1653">
            <v>14</v>
          </cell>
          <cell r="T1653">
            <v>4</v>
          </cell>
          <cell r="AB1653">
            <v>7600</v>
          </cell>
          <cell r="AF1653">
            <v>15</v>
          </cell>
          <cell r="AI1653" t="str">
            <v>既設排水路</v>
          </cell>
          <cell r="AQ1653" t="str">
            <v/>
          </cell>
          <cell r="AR1653" t="str">
            <v>オキシディションディッチ法</v>
          </cell>
          <cell r="AS1653" t="str">
            <v>3238602002</v>
          </cell>
          <cell r="AT1653" t="str">
            <v/>
          </cell>
          <cell r="AU1653" t="str">
            <v>10</v>
          </cell>
          <cell r="AV1653" t="str">
            <v>10</v>
          </cell>
          <cell r="AW1653">
            <v>0</v>
          </cell>
          <cell r="AX1653">
            <v>0</v>
          </cell>
          <cell r="AY1653">
            <v>0</v>
          </cell>
          <cell r="AZ1653">
            <v>0</v>
          </cell>
          <cell r="BA1653">
            <v>0</v>
          </cell>
          <cell r="BD1653" t="str">
            <v/>
          </cell>
          <cell r="BE1653">
            <v>1</v>
          </cell>
          <cell r="BG1653" t="str">
            <v>1100</v>
          </cell>
        </row>
        <row r="1654">
          <cell r="B1654" t="str">
            <v>G324480206100100</v>
          </cell>
          <cell r="C1654" t="str">
            <v>32.島根県</v>
          </cell>
          <cell r="D1654" t="str">
            <v>448</v>
          </cell>
          <cell r="E1654" t="str">
            <v>美郷町</v>
          </cell>
          <cell r="F1654" t="str">
            <v>02</v>
          </cell>
          <cell r="G1654" t="str">
            <v>特環 単独</v>
          </cell>
          <cell r="H1654" t="str">
            <v>特定環境保全公共下水道</v>
          </cell>
          <cell r="I1654" t="str">
            <v>単独</v>
          </cell>
          <cell r="J1654" t="str">
            <v>001</v>
          </cell>
          <cell r="K1654" t="str">
            <v>邑智浄化センター</v>
          </cell>
          <cell r="M1654" t="str">
            <v>1</v>
          </cell>
          <cell r="N1654" t="str">
            <v>1</v>
          </cell>
          <cell r="Q1654">
            <v>35886</v>
          </cell>
          <cell r="R1654" t="str">
            <v>平成</v>
          </cell>
          <cell r="S1654">
            <v>10</v>
          </cell>
          <cell r="T1654">
            <v>4</v>
          </cell>
          <cell r="AB1654">
            <v>5000</v>
          </cell>
          <cell r="AC1654" t="str">
            <v>江の川（全域）</v>
          </cell>
          <cell r="AD1654" t="str">
            <v>Ａ-1</v>
          </cell>
          <cell r="AF1654">
            <v>15</v>
          </cell>
          <cell r="AG1654">
            <v>20</v>
          </cell>
          <cell r="AH1654">
            <v>3</v>
          </cell>
          <cell r="AI1654" t="str">
            <v>堀ヶ谷川</v>
          </cell>
          <cell r="AK1654" t="str">
            <v>江の川</v>
          </cell>
          <cell r="AN1654">
            <v>50</v>
          </cell>
          <cell r="AO1654" t="str">
            <v>江津市</v>
          </cell>
          <cell r="AQ1654" t="str">
            <v/>
          </cell>
          <cell r="AR1654" t="str">
            <v>オキシディションディッチ法</v>
          </cell>
          <cell r="AS1654" t="str">
            <v>3244802001</v>
          </cell>
          <cell r="AT1654" t="str">
            <v/>
          </cell>
          <cell r="AU1654" t="str">
            <v>10</v>
          </cell>
          <cell r="AV1654" t="str">
            <v>10</v>
          </cell>
          <cell r="AW1654">
            <v>0</v>
          </cell>
          <cell r="AX1654">
            <v>0</v>
          </cell>
          <cell r="AY1654">
            <v>0</v>
          </cell>
          <cell r="AZ1654">
            <v>0</v>
          </cell>
          <cell r="BA1654">
            <v>0</v>
          </cell>
          <cell r="BD1654" t="str">
            <v/>
          </cell>
          <cell r="BE1654">
            <v>1</v>
          </cell>
          <cell r="BG1654" t="str">
            <v>1100</v>
          </cell>
        </row>
        <row r="1655">
          <cell r="B1655" t="str">
            <v>G324490206100100</v>
          </cell>
          <cell r="C1655" t="str">
            <v>32.島根県</v>
          </cell>
          <cell r="D1655" t="str">
            <v>449</v>
          </cell>
          <cell r="E1655" t="str">
            <v>邑南町</v>
          </cell>
          <cell r="F1655" t="str">
            <v>02</v>
          </cell>
          <cell r="G1655" t="str">
            <v>特環 単独</v>
          </cell>
          <cell r="H1655" t="str">
            <v>特定環境保全公共下水道</v>
          </cell>
          <cell r="I1655" t="str">
            <v>単独</v>
          </cell>
          <cell r="J1655" t="str">
            <v>001</v>
          </cell>
          <cell r="K1655" t="str">
            <v>石見処理場</v>
          </cell>
          <cell r="M1655" t="str">
            <v>1</v>
          </cell>
          <cell r="N1655" t="str">
            <v>1</v>
          </cell>
          <cell r="O1655" t="str">
            <v>1</v>
          </cell>
          <cell r="Q1655">
            <v>36251</v>
          </cell>
          <cell r="R1655" t="str">
            <v>平成</v>
          </cell>
          <cell r="S1655">
            <v>11</v>
          </cell>
          <cell r="T1655">
            <v>4</v>
          </cell>
          <cell r="AB1655">
            <v>11000</v>
          </cell>
          <cell r="AC1655" t="str">
            <v>江の川</v>
          </cell>
          <cell r="AD1655" t="str">
            <v>Ａ</v>
          </cell>
          <cell r="AF1655">
            <v>15</v>
          </cell>
          <cell r="AK1655" t="str">
            <v>濁川</v>
          </cell>
          <cell r="AL1655" t="str">
            <v>仏一原</v>
          </cell>
          <cell r="AM1655">
            <v>4</v>
          </cell>
          <cell r="AO1655" t="str">
            <v>邑南町</v>
          </cell>
          <cell r="AQ1655" t="str">
            <v/>
          </cell>
          <cell r="AR1655" t="str">
            <v>オキシディションディッチ法</v>
          </cell>
          <cell r="AS1655" t="str">
            <v>3244902001</v>
          </cell>
          <cell r="AT1655" t="str">
            <v/>
          </cell>
          <cell r="AU1655" t="str">
            <v>11</v>
          </cell>
          <cell r="AV1655" t="str">
            <v>10</v>
          </cell>
          <cell r="AW1655">
            <v>0</v>
          </cell>
          <cell r="AX1655">
            <v>0</v>
          </cell>
          <cell r="AY1655">
            <v>-1</v>
          </cell>
          <cell r="AZ1655">
            <v>0</v>
          </cell>
          <cell r="BA1655">
            <v>1</v>
          </cell>
          <cell r="BC1655" t="str">
            <v>コンポスト休止</v>
          </cell>
          <cell r="BD1655" t="str">
            <v>コンポスト休止</v>
          </cell>
          <cell r="BE1655">
            <v>1</v>
          </cell>
          <cell r="BG1655" t="str">
            <v>1110</v>
          </cell>
        </row>
        <row r="1656">
          <cell r="B1656" t="str">
            <v>G325010206100100</v>
          </cell>
          <cell r="C1656" t="str">
            <v>32.島根県</v>
          </cell>
          <cell r="D1656" t="str">
            <v>501</v>
          </cell>
          <cell r="E1656" t="str">
            <v>津和野町</v>
          </cell>
          <cell r="F1656" t="str">
            <v>02</v>
          </cell>
          <cell r="G1656" t="str">
            <v>特環 単独</v>
          </cell>
          <cell r="H1656" t="str">
            <v>特定環境保全公共下水道</v>
          </cell>
          <cell r="I1656" t="str">
            <v>単独</v>
          </cell>
          <cell r="J1656" t="str">
            <v>001</v>
          </cell>
          <cell r="K1656" t="str">
            <v>星の子ステーション</v>
          </cell>
          <cell r="M1656" t="str">
            <v>1</v>
          </cell>
          <cell r="N1656" t="str">
            <v>1</v>
          </cell>
          <cell r="Q1656">
            <v>35886</v>
          </cell>
          <cell r="R1656" t="str">
            <v>平成</v>
          </cell>
          <cell r="S1656">
            <v>10</v>
          </cell>
          <cell r="T1656">
            <v>4</v>
          </cell>
          <cell r="AB1656">
            <v>2000</v>
          </cell>
          <cell r="AC1656" t="str">
            <v>高津川</v>
          </cell>
          <cell r="AD1656" t="str">
            <v>ＡＡ</v>
          </cell>
          <cell r="AF1656">
            <v>15</v>
          </cell>
          <cell r="AK1656" t="str">
            <v>高津川</v>
          </cell>
          <cell r="AQ1656" t="str">
            <v/>
          </cell>
          <cell r="AR1656" t="str">
            <v>オキシディションディッチ法</v>
          </cell>
          <cell r="AS1656" t="str">
            <v>3250102001</v>
          </cell>
          <cell r="AT1656" t="str">
            <v/>
          </cell>
          <cell r="AU1656" t="str">
            <v>10</v>
          </cell>
          <cell r="AV1656" t="str">
            <v>10</v>
          </cell>
          <cell r="AW1656">
            <v>0</v>
          </cell>
          <cell r="AX1656">
            <v>0</v>
          </cell>
          <cell r="AY1656">
            <v>0</v>
          </cell>
          <cell r="AZ1656">
            <v>0</v>
          </cell>
          <cell r="BA1656">
            <v>0</v>
          </cell>
          <cell r="BD1656" t="str">
            <v/>
          </cell>
          <cell r="BE1656">
            <v>1</v>
          </cell>
          <cell r="BG1656" t="str">
            <v>1100</v>
          </cell>
        </row>
        <row r="1657">
          <cell r="B1657" t="str">
            <v>G325010206100200</v>
          </cell>
          <cell r="C1657" t="str">
            <v>32.島根県</v>
          </cell>
          <cell r="D1657" t="str">
            <v>501</v>
          </cell>
          <cell r="E1657" t="str">
            <v>津和野町</v>
          </cell>
          <cell r="F1657" t="str">
            <v>02</v>
          </cell>
          <cell r="G1657" t="str">
            <v>特環 単独</v>
          </cell>
          <cell r="H1657" t="str">
            <v>特定環境保全公共下水道</v>
          </cell>
          <cell r="I1657" t="str">
            <v>単独</v>
          </cell>
          <cell r="J1657" t="str">
            <v>002</v>
          </cell>
          <cell r="K1657" t="str">
            <v>清水管理センター</v>
          </cell>
          <cell r="M1657" t="str">
            <v>1</v>
          </cell>
          <cell r="N1657" t="str">
            <v>1</v>
          </cell>
          <cell r="Q1657">
            <v>38443</v>
          </cell>
          <cell r="R1657" t="str">
            <v>平成</v>
          </cell>
          <cell r="S1657">
            <v>17</v>
          </cell>
          <cell r="T1657">
            <v>4</v>
          </cell>
          <cell r="AB1657">
            <v>9000</v>
          </cell>
          <cell r="AC1657" t="str">
            <v>高津川上流</v>
          </cell>
          <cell r="AD1657" t="str">
            <v>ＡＡ</v>
          </cell>
          <cell r="AE1657" t="str">
            <v>ロ</v>
          </cell>
          <cell r="AF1657">
            <v>15</v>
          </cell>
          <cell r="AK1657" t="str">
            <v>津和野川</v>
          </cell>
          <cell r="AQ1657" t="str">
            <v/>
          </cell>
          <cell r="AR1657" t="str">
            <v>オキシディションディッチ法</v>
          </cell>
          <cell r="AS1657" t="str">
            <v>3250102002</v>
          </cell>
          <cell r="AT1657" t="str">
            <v/>
          </cell>
          <cell r="AU1657" t="str">
            <v>10</v>
          </cell>
          <cell r="AV1657" t="str">
            <v>10</v>
          </cell>
          <cell r="AW1657">
            <v>0</v>
          </cell>
          <cell r="AX1657">
            <v>0</v>
          </cell>
          <cell r="AY1657">
            <v>0</v>
          </cell>
          <cell r="AZ1657">
            <v>0</v>
          </cell>
          <cell r="BA1657">
            <v>0</v>
          </cell>
          <cell r="BD1657" t="str">
            <v/>
          </cell>
          <cell r="BE1657">
            <v>1</v>
          </cell>
          <cell r="BG1657" t="str">
            <v>1100</v>
          </cell>
        </row>
        <row r="1658">
          <cell r="B1658" t="str">
            <v>G325050206100100</v>
          </cell>
          <cell r="C1658" t="str">
            <v>32.島根県</v>
          </cell>
          <cell r="D1658" t="str">
            <v>505</v>
          </cell>
          <cell r="E1658" t="str">
            <v>吉賀町</v>
          </cell>
          <cell r="F1658" t="str">
            <v>02</v>
          </cell>
          <cell r="G1658" t="str">
            <v>特環 単独</v>
          </cell>
          <cell r="H1658" t="str">
            <v>特定環境保全公共下水道</v>
          </cell>
          <cell r="I1658" t="str">
            <v>単独</v>
          </cell>
          <cell r="J1658" t="str">
            <v>001</v>
          </cell>
          <cell r="K1658" t="str">
            <v>六日市浄化センター</v>
          </cell>
          <cell r="M1658" t="str">
            <v>1</v>
          </cell>
          <cell r="N1658" t="str">
            <v>1</v>
          </cell>
          <cell r="Q1658">
            <v>37712</v>
          </cell>
          <cell r="R1658" t="str">
            <v>平成</v>
          </cell>
          <cell r="S1658">
            <v>15</v>
          </cell>
          <cell r="T1658">
            <v>4</v>
          </cell>
          <cell r="AB1658">
            <v>7550</v>
          </cell>
          <cell r="AC1658" t="str">
            <v>高津川</v>
          </cell>
          <cell r="AD1658" t="str">
            <v>ＡＡ</v>
          </cell>
          <cell r="AE1658" t="str">
            <v>イ</v>
          </cell>
          <cell r="AF1658">
            <v>15</v>
          </cell>
          <cell r="AK1658" t="str">
            <v>高津川</v>
          </cell>
          <cell r="AL1658" t="str">
            <v>六日市浄水場</v>
          </cell>
          <cell r="AM1658">
            <v>3.5</v>
          </cell>
          <cell r="AO1658" t="str">
            <v>吉賀町</v>
          </cell>
          <cell r="AQ1658" t="str">
            <v/>
          </cell>
          <cell r="AR1658" t="str">
            <v>オキシディションディッチ法</v>
          </cell>
          <cell r="AS1658" t="str">
            <v>3250502001</v>
          </cell>
          <cell r="AT1658" t="str">
            <v/>
          </cell>
          <cell r="AU1658" t="str">
            <v>10</v>
          </cell>
          <cell r="AV1658" t="str">
            <v>10</v>
          </cell>
          <cell r="AW1658">
            <v>0</v>
          </cell>
          <cell r="AX1658">
            <v>0</v>
          </cell>
          <cell r="AY1658">
            <v>0</v>
          </cell>
          <cell r="AZ1658">
            <v>0</v>
          </cell>
          <cell r="BA1658">
            <v>0</v>
          </cell>
          <cell r="BD1658" t="str">
            <v/>
          </cell>
          <cell r="BE1658">
            <v>1</v>
          </cell>
          <cell r="BG1658" t="str">
            <v>1100</v>
          </cell>
        </row>
        <row r="1659">
          <cell r="B1659" t="str">
            <v>G325250206100100</v>
          </cell>
          <cell r="C1659" t="str">
            <v>32.島根県</v>
          </cell>
          <cell r="D1659" t="str">
            <v>525</v>
          </cell>
          <cell r="E1659" t="str">
            <v>海士町</v>
          </cell>
          <cell r="F1659" t="str">
            <v>02</v>
          </cell>
          <cell r="G1659" t="str">
            <v>特環 単独</v>
          </cell>
          <cell r="H1659" t="str">
            <v>特定環境保全公共下水道</v>
          </cell>
          <cell r="I1659" t="str">
            <v>単独</v>
          </cell>
          <cell r="J1659" t="str">
            <v>001</v>
          </cell>
          <cell r="K1659" t="str">
            <v>海士浄化センター</v>
          </cell>
          <cell r="M1659" t="str">
            <v>1</v>
          </cell>
          <cell r="N1659" t="str">
            <v>1</v>
          </cell>
          <cell r="Q1659">
            <v>37316</v>
          </cell>
          <cell r="R1659" t="str">
            <v>平成</v>
          </cell>
          <cell r="S1659">
            <v>14</v>
          </cell>
          <cell r="T1659">
            <v>3</v>
          </cell>
          <cell r="AB1659">
            <v>2480</v>
          </cell>
          <cell r="AI1659" t="str">
            <v>日本海</v>
          </cell>
          <cell r="AQ1659" t="str">
            <v/>
          </cell>
          <cell r="AR1659" t="str">
            <v>嫌気好気ろ床法</v>
          </cell>
          <cell r="AS1659" t="str">
            <v>3252502001</v>
          </cell>
          <cell r="AT1659" t="str">
            <v/>
          </cell>
          <cell r="AU1659" t="str">
            <v>10</v>
          </cell>
          <cell r="AV1659" t="str">
            <v>10</v>
          </cell>
          <cell r="AW1659">
            <v>0</v>
          </cell>
          <cell r="AX1659">
            <v>0</v>
          </cell>
          <cell r="AY1659">
            <v>0</v>
          </cell>
          <cell r="AZ1659">
            <v>0</v>
          </cell>
          <cell r="BA1659">
            <v>0</v>
          </cell>
          <cell r="BD1659" t="str">
            <v/>
          </cell>
          <cell r="BE1659">
            <v>1</v>
          </cell>
          <cell r="BG1659" t="str">
            <v>1100</v>
          </cell>
        </row>
        <row r="1660">
          <cell r="B1660" t="str">
            <v>G325260206100100</v>
          </cell>
          <cell r="C1660" t="str">
            <v>32.島根県</v>
          </cell>
          <cell r="D1660" t="str">
            <v>526</v>
          </cell>
          <cell r="E1660" t="str">
            <v>西ノ島町</v>
          </cell>
          <cell r="F1660" t="str">
            <v>02</v>
          </cell>
          <cell r="G1660" t="str">
            <v>特環 単独</v>
          </cell>
          <cell r="H1660" t="str">
            <v>特定環境保全公共下水道</v>
          </cell>
          <cell r="I1660" t="str">
            <v>単独</v>
          </cell>
          <cell r="J1660" t="str">
            <v>001</v>
          </cell>
          <cell r="K1660" t="str">
            <v>東部浄化センター</v>
          </cell>
          <cell r="M1660" t="str">
            <v>1</v>
          </cell>
          <cell r="Q1660">
            <v>39203</v>
          </cell>
          <cell r="R1660" t="str">
            <v>平成</v>
          </cell>
          <cell r="S1660">
            <v>19</v>
          </cell>
          <cell r="T1660">
            <v>5</v>
          </cell>
          <cell r="AB1660">
            <v>2615</v>
          </cell>
          <cell r="AD1660" t="str">
            <v>設定なし</v>
          </cell>
          <cell r="AF1660">
            <v>15</v>
          </cell>
          <cell r="AG1660">
            <v>20</v>
          </cell>
          <cell r="AH1660">
            <v>3</v>
          </cell>
          <cell r="AI1660" t="str">
            <v>別府港</v>
          </cell>
          <cell r="AL1660" t="str">
            <v>別府</v>
          </cell>
          <cell r="AM1660">
            <v>1</v>
          </cell>
          <cell r="AO1660" t="str">
            <v>西ノ島町</v>
          </cell>
          <cell r="AQ1660" t="str">
            <v/>
          </cell>
          <cell r="AR1660" t="str">
            <v>オキシディションディッチ法</v>
          </cell>
          <cell r="AS1660" t="str">
            <v>3252602001</v>
          </cell>
          <cell r="AT1660" t="str">
            <v/>
          </cell>
          <cell r="AU1660" t="str">
            <v>00</v>
          </cell>
          <cell r="AV1660" t="str">
            <v>00</v>
          </cell>
          <cell r="AW1660">
            <v>0</v>
          </cell>
          <cell r="AX1660">
            <v>0</v>
          </cell>
          <cell r="AY1660">
            <v>0</v>
          </cell>
          <cell r="AZ1660">
            <v>0</v>
          </cell>
          <cell r="BA1660">
            <v>0</v>
          </cell>
          <cell r="BD1660" t="str">
            <v/>
          </cell>
          <cell r="BE1660">
            <v>1</v>
          </cell>
          <cell r="BG1660" t="str">
            <v>1000</v>
          </cell>
        </row>
        <row r="1661">
          <cell r="B1661" t="str">
            <v>G325280106100100</v>
          </cell>
          <cell r="C1661" t="str">
            <v>32.島根県</v>
          </cell>
          <cell r="D1661" t="str">
            <v>528</v>
          </cell>
          <cell r="E1661" t="str">
            <v>隠岐の島町</v>
          </cell>
          <cell r="F1661" t="str">
            <v>01</v>
          </cell>
          <cell r="G1661" t="str">
            <v>公共 単独</v>
          </cell>
          <cell r="H1661" t="str">
            <v>公共下水道</v>
          </cell>
          <cell r="I1661" t="str">
            <v>単独</v>
          </cell>
          <cell r="J1661" t="str">
            <v>001</v>
          </cell>
          <cell r="K1661" t="str">
            <v>西郷浄化センター</v>
          </cell>
          <cell r="M1661" t="str">
            <v>1</v>
          </cell>
          <cell r="N1661" t="str">
            <v>1</v>
          </cell>
          <cell r="Q1661">
            <v>39904</v>
          </cell>
          <cell r="R1661" t="str">
            <v>平成</v>
          </cell>
          <cell r="S1661">
            <v>21</v>
          </cell>
          <cell r="T1661">
            <v>4</v>
          </cell>
          <cell r="AB1661">
            <v>18000</v>
          </cell>
          <cell r="AC1661" t="str">
            <v>設定なし</v>
          </cell>
          <cell r="AF1661">
            <v>15</v>
          </cell>
          <cell r="AI1661" t="str">
            <v>古川</v>
          </cell>
          <cell r="AL1661" t="str">
            <v>八尾川</v>
          </cell>
          <cell r="AM1661">
            <v>1.7</v>
          </cell>
          <cell r="AO1661" t="str">
            <v>隠岐の島町</v>
          </cell>
          <cell r="AQ1661" t="str">
            <v/>
          </cell>
          <cell r="AR1661" t="str">
            <v>オキシディションディッチ法</v>
          </cell>
          <cell r="AS1661" t="str">
            <v>3252801001</v>
          </cell>
          <cell r="AT1661" t="str">
            <v/>
          </cell>
          <cell r="AU1661" t="str">
            <v>10</v>
          </cell>
          <cell r="AV1661" t="str">
            <v>10</v>
          </cell>
          <cell r="AW1661">
            <v>0</v>
          </cell>
          <cell r="AX1661">
            <v>0</v>
          </cell>
          <cell r="AY1661">
            <v>0</v>
          </cell>
          <cell r="AZ1661">
            <v>0</v>
          </cell>
          <cell r="BA1661">
            <v>0</v>
          </cell>
          <cell r="BD1661" t="str">
            <v/>
          </cell>
          <cell r="BE1661">
            <v>1</v>
          </cell>
          <cell r="BG1661" t="str">
            <v>1100</v>
          </cell>
        </row>
        <row r="1662">
          <cell r="B1662" t="str">
            <v>G325280206100200</v>
          </cell>
          <cell r="C1662" t="str">
            <v>32.島根県</v>
          </cell>
          <cell r="D1662" t="str">
            <v>528</v>
          </cell>
          <cell r="E1662" t="str">
            <v>隠岐の島町</v>
          </cell>
          <cell r="F1662" t="str">
            <v>02</v>
          </cell>
          <cell r="G1662" t="str">
            <v>特環 単独</v>
          </cell>
          <cell r="H1662" t="str">
            <v>特定環境保全公共下水道</v>
          </cell>
          <cell r="I1662" t="str">
            <v>単独</v>
          </cell>
          <cell r="J1662" t="str">
            <v>002</v>
          </cell>
          <cell r="K1662" t="str">
            <v>卯敷浄化センター</v>
          </cell>
          <cell r="M1662" t="str">
            <v>1</v>
          </cell>
          <cell r="N1662" t="str">
            <v>1</v>
          </cell>
          <cell r="Q1662">
            <v>35886</v>
          </cell>
          <cell r="R1662" t="str">
            <v>平成</v>
          </cell>
          <cell r="S1662">
            <v>10</v>
          </cell>
          <cell r="T1662">
            <v>4</v>
          </cell>
          <cell r="AB1662">
            <v>445</v>
          </cell>
          <cell r="AC1662" t="str">
            <v>設定なし</v>
          </cell>
          <cell r="AF1662">
            <v>15</v>
          </cell>
          <cell r="AI1662" t="str">
            <v>日本海</v>
          </cell>
          <cell r="AL1662" t="str">
            <v>卯敷川</v>
          </cell>
          <cell r="AM1662">
            <v>0.1</v>
          </cell>
          <cell r="AO1662" t="str">
            <v>隠岐の島町</v>
          </cell>
          <cell r="AQ1662" t="str">
            <v/>
          </cell>
          <cell r="AR1662" t="str">
            <v>オキシディションディッチ法</v>
          </cell>
          <cell r="AS1662" t="str">
            <v>3252802002</v>
          </cell>
          <cell r="AT1662" t="str">
            <v/>
          </cell>
          <cell r="AU1662" t="str">
            <v>10</v>
          </cell>
          <cell r="AV1662" t="str">
            <v>10</v>
          </cell>
          <cell r="AW1662">
            <v>0</v>
          </cell>
          <cell r="AX1662">
            <v>0</v>
          </cell>
          <cell r="AY1662">
            <v>0</v>
          </cell>
          <cell r="AZ1662">
            <v>0</v>
          </cell>
          <cell r="BA1662">
            <v>0</v>
          </cell>
          <cell r="BD1662" t="str">
            <v/>
          </cell>
          <cell r="BE1662">
            <v>1</v>
          </cell>
          <cell r="BG1662" t="str">
            <v>1100</v>
          </cell>
        </row>
        <row r="1663">
          <cell r="B1663" t="str">
            <v>G325280206100300</v>
          </cell>
          <cell r="C1663" t="str">
            <v>32.島根県</v>
          </cell>
          <cell r="D1663" t="str">
            <v>528</v>
          </cell>
          <cell r="E1663" t="str">
            <v>隠岐の島町</v>
          </cell>
          <cell r="F1663" t="str">
            <v>02</v>
          </cell>
          <cell r="G1663" t="str">
            <v>特環 単独</v>
          </cell>
          <cell r="H1663" t="str">
            <v>特定環境保全公共下水道</v>
          </cell>
          <cell r="I1663" t="str">
            <v>単独</v>
          </cell>
          <cell r="J1663" t="str">
            <v>003</v>
          </cell>
          <cell r="K1663" t="str">
            <v>福浦浄化センター</v>
          </cell>
          <cell r="M1663" t="str">
            <v>1</v>
          </cell>
          <cell r="N1663" t="str">
            <v>1</v>
          </cell>
          <cell r="Q1663">
            <v>36312</v>
          </cell>
          <cell r="R1663" t="str">
            <v>平成</v>
          </cell>
          <cell r="S1663">
            <v>11</v>
          </cell>
          <cell r="T1663">
            <v>6</v>
          </cell>
          <cell r="AB1663">
            <v>290</v>
          </cell>
          <cell r="AF1663">
            <v>15</v>
          </cell>
          <cell r="AI1663" t="str">
            <v>大浦川</v>
          </cell>
          <cell r="AL1663" t="str">
            <v>大浦川</v>
          </cell>
          <cell r="AM1663">
            <v>0.1</v>
          </cell>
          <cell r="AO1663" t="str">
            <v>隠岐の島町</v>
          </cell>
          <cell r="AQ1663" t="str">
            <v/>
          </cell>
          <cell r="AR1663" t="str">
            <v>オキシディションディッチ法</v>
          </cell>
          <cell r="AS1663" t="str">
            <v>3252802003</v>
          </cell>
          <cell r="AT1663" t="str">
            <v/>
          </cell>
          <cell r="AU1663" t="str">
            <v>10</v>
          </cell>
          <cell r="AV1663" t="str">
            <v>10</v>
          </cell>
          <cell r="AW1663">
            <v>0</v>
          </cell>
          <cell r="AX1663">
            <v>0</v>
          </cell>
          <cell r="AY1663">
            <v>0</v>
          </cell>
          <cell r="AZ1663">
            <v>0</v>
          </cell>
          <cell r="BA1663">
            <v>0</v>
          </cell>
          <cell r="BD1663" t="str">
            <v/>
          </cell>
          <cell r="BE1663">
            <v>1</v>
          </cell>
          <cell r="BG1663" t="str">
            <v>1100</v>
          </cell>
        </row>
        <row r="1664">
          <cell r="B1664" t="str">
            <v>G325280206100400</v>
          </cell>
          <cell r="C1664" t="str">
            <v>32.島根県</v>
          </cell>
          <cell r="D1664" t="str">
            <v>528</v>
          </cell>
          <cell r="E1664" t="str">
            <v>隠岐の島町</v>
          </cell>
          <cell r="F1664" t="str">
            <v>02</v>
          </cell>
          <cell r="G1664" t="str">
            <v>特環 単独</v>
          </cell>
          <cell r="H1664" t="str">
            <v>特定環境保全公共下水道</v>
          </cell>
          <cell r="I1664" t="str">
            <v>単独</v>
          </cell>
          <cell r="J1664" t="str">
            <v>004</v>
          </cell>
          <cell r="K1664" t="str">
            <v>飯美浄化センター</v>
          </cell>
          <cell r="M1664" t="str">
            <v>1</v>
          </cell>
          <cell r="N1664" t="str">
            <v>1</v>
          </cell>
          <cell r="Q1664">
            <v>36617</v>
          </cell>
          <cell r="R1664" t="str">
            <v>平成</v>
          </cell>
          <cell r="S1664">
            <v>12</v>
          </cell>
          <cell r="T1664">
            <v>4</v>
          </cell>
          <cell r="AB1664">
            <v>403</v>
          </cell>
          <cell r="AF1664">
            <v>15</v>
          </cell>
          <cell r="AI1664" t="str">
            <v>日本海</v>
          </cell>
          <cell r="AL1664" t="str">
            <v>飯美川</v>
          </cell>
          <cell r="AM1664">
            <v>0.2</v>
          </cell>
          <cell r="AO1664" t="str">
            <v>隠岐の島町</v>
          </cell>
          <cell r="AQ1664" t="str">
            <v/>
          </cell>
          <cell r="AR1664" t="str">
            <v>オキシディションディッチ法</v>
          </cell>
          <cell r="AS1664" t="str">
            <v>3252802004</v>
          </cell>
          <cell r="AT1664" t="str">
            <v/>
          </cell>
          <cell r="AU1664" t="str">
            <v>10</v>
          </cell>
          <cell r="AV1664" t="str">
            <v>10</v>
          </cell>
          <cell r="AW1664">
            <v>0</v>
          </cell>
          <cell r="AX1664">
            <v>0</v>
          </cell>
          <cell r="AY1664">
            <v>0</v>
          </cell>
          <cell r="AZ1664">
            <v>0</v>
          </cell>
          <cell r="BA1664">
            <v>0</v>
          </cell>
          <cell r="BD1664" t="str">
            <v/>
          </cell>
          <cell r="BE1664">
            <v>1</v>
          </cell>
          <cell r="BG1664" t="str">
            <v>1100</v>
          </cell>
        </row>
        <row r="1665">
          <cell r="B1665" t="str">
            <v>G330018106100100</v>
          </cell>
          <cell r="C1665" t="str">
            <v>33.岡山県</v>
          </cell>
          <cell r="D1665" t="str">
            <v>001</v>
          </cell>
          <cell r="E1665" t="str">
            <v>児島湖流域</v>
          </cell>
          <cell r="F1665" t="str">
            <v>81</v>
          </cell>
          <cell r="G1665" t="str">
            <v>流域</v>
          </cell>
          <cell r="H1665" t="str">
            <v>流域下水道</v>
          </cell>
          <cell r="I1665" t="str">
            <v/>
          </cell>
          <cell r="J1665" t="str">
            <v>001</v>
          </cell>
          <cell r="K1665" t="str">
            <v>児島湖流域下水道浄化センター</v>
          </cell>
          <cell r="M1665" t="str">
            <v>1</v>
          </cell>
          <cell r="N1665" t="str">
            <v>1</v>
          </cell>
          <cell r="P1665" t="str">
            <v>1</v>
          </cell>
          <cell r="Q1665">
            <v>32568</v>
          </cell>
          <cell r="R1665" t="str">
            <v>平成</v>
          </cell>
          <cell r="S1665">
            <v>1</v>
          </cell>
          <cell r="T1665">
            <v>3</v>
          </cell>
          <cell r="AB1665">
            <v>534000</v>
          </cell>
          <cell r="AF1665">
            <v>5</v>
          </cell>
          <cell r="AG1665">
            <v>7</v>
          </cell>
          <cell r="AH1665">
            <v>0.3</v>
          </cell>
          <cell r="AI1665" t="str">
            <v>児島湖</v>
          </cell>
          <cell r="AQ1665" t="str">
            <v/>
          </cell>
          <cell r="AR1665" t="str">
            <v>ステップ流入式多段硝化脱窒法</v>
          </cell>
          <cell r="AS1665" t="str">
            <v>3300181001</v>
          </cell>
          <cell r="AT1665" t="str">
            <v/>
          </cell>
          <cell r="AU1665" t="str">
            <v>10</v>
          </cell>
          <cell r="AV1665" t="str">
            <v>10</v>
          </cell>
          <cell r="AW1665">
            <v>1</v>
          </cell>
          <cell r="AX1665">
            <v>0</v>
          </cell>
          <cell r="AY1665">
            <v>0</v>
          </cell>
          <cell r="AZ1665">
            <v>0</v>
          </cell>
          <cell r="BA1665">
            <v>0</v>
          </cell>
          <cell r="BD1665" t="str">
            <v/>
          </cell>
          <cell r="BE1665">
            <v>1</v>
          </cell>
          <cell r="BG1665" t="str">
            <v>1101</v>
          </cell>
        </row>
        <row r="1666">
          <cell r="B1666" t="str">
            <v>G331000106100100</v>
          </cell>
          <cell r="C1666" t="str">
            <v>33.岡山県</v>
          </cell>
          <cell r="D1666" t="str">
            <v>100</v>
          </cell>
          <cell r="E1666" t="str">
            <v>岡山市</v>
          </cell>
          <cell r="F1666" t="str">
            <v>01</v>
          </cell>
          <cell r="G1666" t="str">
            <v>公共 単独</v>
          </cell>
          <cell r="H1666" t="str">
            <v>公共下水道</v>
          </cell>
          <cell r="I1666" t="str">
            <v>単独</v>
          </cell>
          <cell r="J1666" t="str">
            <v>001</v>
          </cell>
          <cell r="K1666" t="str">
            <v>旭西浄化センター</v>
          </cell>
          <cell r="Q1666">
            <v>23043</v>
          </cell>
          <cell r="R1666" t="str">
            <v>昭和</v>
          </cell>
          <cell r="S1666">
            <v>38</v>
          </cell>
          <cell r="T1666">
            <v>2</v>
          </cell>
          <cell r="U1666" t="str">
            <v>廃止</v>
          </cell>
          <cell r="V1666">
            <v>41000</v>
          </cell>
          <cell r="W1666" t="str">
            <v>平成</v>
          </cell>
          <cell r="X1666">
            <v>24</v>
          </cell>
          <cell r="Y1666">
            <v>4</v>
          </cell>
          <cell r="Z1666" t="str">
            <v>ポンプ場へ移行</v>
          </cell>
          <cell r="AB1666">
            <v>62317</v>
          </cell>
          <cell r="AQ1666" t="str">
            <v>廃止</v>
          </cell>
          <cell r="AR1666" t="str">
            <v/>
          </cell>
          <cell r="AS1666" t="str">
            <v>3310001001</v>
          </cell>
          <cell r="AT1666">
            <v>1</v>
          </cell>
          <cell r="AU1666" t="str">
            <v>00</v>
          </cell>
          <cell r="AV1666" t="str">
            <v>00</v>
          </cell>
          <cell r="AW1666">
            <v>0</v>
          </cell>
          <cell r="AX1666">
            <v>0</v>
          </cell>
          <cell r="AY1666">
            <v>0</v>
          </cell>
          <cell r="AZ1666">
            <v>0</v>
          </cell>
          <cell r="BA1666">
            <v>0</v>
          </cell>
          <cell r="BD1666" t="str">
            <v/>
          </cell>
          <cell r="BE1666">
            <v>0</v>
          </cell>
          <cell r="BG1666">
            <v>9999</v>
          </cell>
        </row>
        <row r="1667">
          <cell r="B1667" t="str">
            <v>G331000106100200</v>
          </cell>
          <cell r="C1667" t="str">
            <v>33.岡山県</v>
          </cell>
          <cell r="D1667" t="str">
            <v>100</v>
          </cell>
          <cell r="E1667" t="str">
            <v>岡山市</v>
          </cell>
          <cell r="F1667" t="str">
            <v>01</v>
          </cell>
          <cell r="G1667" t="str">
            <v>公共 単独</v>
          </cell>
          <cell r="H1667" t="str">
            <v>公共下水道</v>
          </cell>
          <cell r="I1667" t="str">
            <v>単独</v>
          </cell>
          <cell r="J1667" t="str">
            <v>002</v>
          </cell>
          <cell r="K1667" t="str">
            <v>芳賀佐山浄化センター</v>
          </cell>
          <cell r="M1667" t="str">
            <v>1</v>
          </cell>
          <cell r="N1667" t="str">
            <v>1</v>
          </cell>
          <cell r="Q1667">
            <v>28764</v>
          </cell>
          <cell r="R1667" t="str">
            <v>昭和</v>
          </cell>
          <cell r="S1667">
            <v>53</v>
          </cell>
          <cell r="T1667">
            <v>10</v>
          </cell>
          <cell r="AB1667">
            <v>4470</v>
          </cell>
          <cell r="AC1667" t="str">
            <v>笹ヶ瀬川</v>
          </cell>
          <cell r="AD1667" t="str">
            <v>Ｂ</v>
          </cell>
          <cell r="AE1667" t="str">
            <v>ハ</v>
          </cell>
          <cell r="AF1667">
            <v>15</v>
          </cell>
          <cell r="AG1667">
            <v>20</v>
          </cell>
          <cell r="AH1667">
            <v>2</v>
          </cell>
          <cell r="AI1667" t="str">
            <v>中川</v>
          </cell>
          <cell r="AJ1667" t="str">
            <v>笹ヶ瀬川</v>
          </cell>
          <cell r="AQ1667" t="str">
            <v/>
          </cell>
          <cell r="AR1667" t="str">
            <v>循環式硝化脱窒法</v>
          </cell>
          <cell r="AS1667" t="str">
            <v>3310001002</v>
          </cell>
          <cell r="AT1667" t="str">
            <v/>
          </cell>
          <cell r="AU1667" t="str">
            <v>10</v>
          </cell>
          <cell r="AV1667" t="str">
            <v>10</v>
          </cell>
          <cell r="AW1667">
            <v>0</v>
          </cell>
          <cell r="AX1667">
            <v>0</v>
          </cell>
          <cell r="AY1667">
            <v>0</v>
          </cell>
          <cell r="AZ1667">
            <v>0</v>
          </cell>
          <cell r="BA1667">
            <v>0</v>
          </cell>
          <cell r="BD1667" t="str">
            <v/>
          </cell>
          <cell r="BE1667">
            <v>1</v>
          </cell>
          <cell r="BG1667" t="str">
            <v>1100</v>
          </cell>
        </row>
        <row r="1668">
          <cell r="B1668" t="str">
            <v>G331000106100300</v>
          </cell>
          <cell r="C1668" t="str">
            <v>33.岡山県</v>
          </cell>
          <cell r="D1668" t="str">
            <v>100</v>
          </cell>
          <cell r="E1668" t="str">
            <v>岡山市</v>
          </cell>
          <cell r="F1668" t="str">
            <v>01</v>
          </cell>
          <cell r="G1668" t="str">
            <v>公共 単独</v>
          </cell>
          <cell r="H1668" t="str">
            <v>公共下水道</v>
          </cell>
          <cell r="I1668" t="str">
            <v>単独</v>
          </cell>
          <cell r="J1668" t="str">
            <v>003</v>
          </cell>
          <cell r="K1668" t="str">
            <v>流通団地浄化センター</v>
          </cell>
          <cell r="M1668" t="str">
            <v>1</v>
          </cell>
          <cell r="N1668" t="str">
            <v>1</v>
          </cell>
          <cell r="Q1668">
            <v>30834</v>
          </cell>
          <cell r="R1668" t="str">
            <v>昭和</v>
          </cell>
          <cell r="S1668">
            <v>59</v>
          </cell>
          <cell r="T1668">
            <v>6</v>
          </cell>
          <cell r="AB1668">
            <v>14427</v>
          </cell>
          <cell r="AC1668" t="str">
            <v>足守川下流</v>
          </cell>
          <cell r="AD1668" t="str">
            <v>Ｂ</v>
          </cell>
          <cell r="AE1668" t="str">
            <v>イ</v>
          </cell>
          <cell r="AF1668">
            <v>15</v>
          </cell>
          <cell r="AG1668">
            <v>20</v>
          </cell>
          <cell r="AH1668">
            <v>2</v>
          </cell>
          <cell r="AI1668" t="str">
            <v>足守川</v>
          </cell>
          <cell r="AJ1668" t="str">
            <v>笹ヶ瀬川</v>
          </cell>
          <cell r="AQ1668" t="str">
            <v/>
          </cell>
          <cell r="AR1668" t="str">
            <v>硝化内生脱窒法</v>
          </cell>
          <cell r="AS1668" t="str">
            <v>3310001003</v>
          </cell>
          <cell r="AT1668" t="str">
            <v/>
          </cell>
          <cell r="AU1668" t="str">
            <v>10</v>
          </cell>
          <cell r="AV1668" t="str">
            <v>10</v>
          </cell>
          <cell r="AW1668">
            <v>0</v>
          </cell>
          <cell r="AX1668">
            <v>0</v>
          </cell>
          <cell r="AY1668">
            <v>0</v>
          </cell>
          <cell r="AZ1668">
            <v>0</v>
          </cell>
          <cell r="BA1668">
            <v>0</v>
          </cell>
          <cell r="BD1668" t="str">
            <v/>
          </cell>
          <cell r="BE1668">
            <v>1</v>
          </cell>
          <cell r="BG1668" t="str">
            <v>1100</v>
          </cell>
        </row>
        <row r="1669">
          <cell r="B1669" t="str">
            <v>G331000106100400</v>
          </cell>
          <cell r="C1669" t="str">
            <v>33.岡山県</v>
          </cell>
          <cell r="D1669" t="str">
            <v>100</v>
          </cell>
          <cell r="E1669" t="str">
            <v>岡山市</v>
          </cell>
          <cell r="F1669" t="str">
            <v>01</v>
          </cell>
          <cell r="G1669" t="str">
            <v>公共 単独</v>
          </cell>
          <cell r="H1669" t="str">
            <v>公共下水道</v>
          </cell>
          <cell r="I1669" t="str">
            <v>単独</v>
          </cell>
          <cell r="J1669" t="str">
            <v>004</v>
          </cell>
          <cell r="K1669" t="str">
            <v>岡東浄化センター</v>
          </cell>
          <cell r="M1669" t="str">
            <v>1</v>
          </cell>
          <cell r="N1669" t="str">
            <v>1</v>
          </cell>
          <cell r="Q1669">
            <v>33664</v>
          </cell>
          <cell r="R1669" t="str">
            <v>平成</v>
          </cell>
          <cell r="S1669">
            <v>4</v>
          </cell>
          <cell r="T1669">
            <v>3</v>
          </cell>
          <cell r="AB1669">
            <v>386563</v>
          </cell>
          <cell r="AC1669" t="str">
            <v>児島湾（乙）</v>
          </cell>
          <cell r="AD1669" t="str">
            <v>Ｂ</v>
          </cell>
          <cell r="AE1669" t="str">
            <v>ロ</v>
          </cell>
          <cell r="AF1669">
            <v>15</v>
          </cell>
          <cell r="AG1669">
            <v>20</v>
          </cell>
          <cell r="AH1669">
            <v>2</v>
          </cell>
          <cell r="AI1669" t="str">
            <v>児島湾</v>
          </cell>
          <cell r="AL1669" t="str">
            <v>なし</v>
          </cell>
          <cell r="AQ1669" t="str">
            <v/>
          </cell>
          <cell r="AR1669" t="str">
            <v>ステップ流入式多段硝化脱窒法</v>
          </cell>
          <cell r="AS1669" t="str">
            <v>3310001004</v>
          </cell>
          <cell r="AT1669" t="str">
            <v/>
          </cell>
          <cell r="AU1669" t="str">
            <v>10</v>
          </cell>
          <cell r="AV1669" t="str">
            <v>10</v>
          </cell>
          <cell r="AW1669">
            <v>0</v>
          </cell>
          <cell r="AX1669">
            <v>0</v>
          </cell>
          <cell r="AY1669">
            <v>0</v>
          </cell>
          <cell r="AZ1669">
            <v>0</v>
          </cell>
          <cell r="BA1669">
            <v>0</v>
          </cell>
          <cell r="BD1669" t="str">
            <v/>
          </cell>
          <cell r="BE1669">
            <v>1</v>
          </cell>
          <cell r="BG1669" t="str">
            <v>1100</v>
          </cell>
        </row>
        <row r="1670">
          <cell r="B1670" t="str">
            <v>G331000106100500</v>
          </cell>
          <cell r="C1670" t="str">
            <v>33.岡山県</v>
          </cell>
          <cell r="D1670" t="str">
            <v>100</v>
          </cell>
          <cell r="E1670" t="str">
            <v>岡山市</v>
          </cell>
          <cell r="F1670" t="str">
            <v>01</v>
          </cell>
          <cell r="G1670" t="str">
            <v>公共 単独</v>
          </cell>
          <cell r="H1670" t="str">
            <v>公共下水道</v>
          </cell>
          <cell r="I1670" t="str">
            <v>単独</v>
          </cell>
          <cell r="J1670" t="str">
            <v>005</v>
          </cell>
          <cell r="K1670" t="str">
            <v>瀬戸浄化センター</v>
          </cell>
          <cell r="M1670" t="str">
            <v>1</v>
          </cell>
          <cell r="N1670" t="str">
            <v>1</v>
          </cell>
          <cell r="Q1670">
            <v>34669</v>
          </cell>
          <cell r="R1670" t="str">
            <v>平成</v>
          </cell>
          <cell r="S1670">
            <v>6</v>
          </cell>
          <cell r="T1670">
            <v>12</v>
          </cell>
          <cell r="AB1670">
            <v>17197</v>
          </cell>
          <cell r="AC1670" t="str">
            <v>砂川</v>
          </cell>
          <cell r="AD1670" t="str">
            <v>Ｂ</v>
          </cell>
          <cell r="AE1670" t="str">
            <v>ロ</v>
          </cell>
          <cell r="AF1670">
            <v>10</v>
          </cell>
          <cell r="AG1670">
            <v>10</v>
          </cell>
          <cell r="AH1670">
            <v>1</v>
          </cell>
          <cell r="AI1670" t="str">
            <v>砂川</v>
          </cell>
          <cell r="AK1670" t="str">
            <v>旭川</v>
          </cell>
          <cell r="AQ1670" t="str">
            <v/>
          </cell>
          <cell r="AR1670" t="str">
            <v>オキシディションディッチ法</v>
          </cell>
          <cell r="AS1670" t="str">
            <v>3310001005</v>
          </cell>
          <cell r="AT1670" t="str">
            <v/>
          </cell>
          <cell r="AU1670" t="str">
            <v>10</v>
          </cell>
          <cell r="AV1670" t="str">
            <v>10</v>
          </cell>
          <cell r="AW1670">
            <v>0</v>
          </cell>
          <cell r="AX1670">
            <v>0</v>
          </cell>
          <cell r="AY1670">
            <v>0</v>
          </cell>
          <cell r="AZ1670">
            <v>0</v>
          </cell>
          <cell r="BA1670">
            <v>0</v>
          </cell>
          <cell r="BD1670" t="str">
            <v/>
          </cell>
          <cell r="BE1670">
            <v>1</v>
          </cell>
          <cell r="BG1670" t="str">
            <v>1100</v>
          </cell>
        </row>
        <row r="1671">
          <cell r="B1671" t="str">
            <v>G331000106100600</v>
          </cell>
          <cell r="C1671" t="str">
            <v>33.岡山県</v>
          </cell>
          <cell r="D1671" t="str">
            <v>100</v>
          </cell>
          <cell r="E1671" t="str">
            <v>岡山市</v>
          </cell>
          <cell r="F1671" t="str">
            <v>01</v>
          </cell>
          <cell r="G1671" t="str">
            <v>公共 単独</v>
          </cell>
          <cell r="H1671" t="str">
            <v>公共下水道</v>
          </cell>
          <cell r="I1671" t="str">
            <v>単独</v>
          </cell>
          <cell r="J1671" t="str">
            <v>006</v>
          </cell>
          <cell r="K1671" t="str">
            <v>吉井川浄化センター</v>
          </cell>
          <cell r="M1671" t="str">
            <v>1</v>
          </cell>
          <cell r="P1671" t="str">
            <v>1</v>
          </cell>
          <cell r="Q1671">
            <v>37377</v>
          </cell>
          <cell r="R1671" t="str">
            <v>平成</v>
          </cell>
          <cell r="S1671">
            <v>14</v>
          </cell>
          <cell r="T1671">
            <v>5</v>
          </cell>
          <cell r="AB1671">
            <v>22400</v>
          </cell>
          <cell r="AC1671" t="str">
            <v>吉井川中・下流</v>
          </cell>
          <cell r="AD1671" t="str">
            <v>Ｂ</v>
          </cell>
          <cell r="AE1671" t="str">
            <v>ロ</v>
          </cell>
          <cell r="AF1671">
            <v>5</v>
          </cell>
          <cell r="AG1671">
            <v>7.7</v>
          </cell>
          <cell r="AH1671">
            <v>0.5</v>
          </cell>
          <cell r="AI1671" t="str">
            <v>永江川</v>
          </cell>
          <cell r="AK1671" t="str">
            <v>吉井川</v>
          </cell>
          <cell r="AL1671" t="str">
            <v>なし</v>
          </cell>
          <cell r="AQ1671" t="str">
            <v/>
          </cell>
          <cell r="AR1671" t="str">
            <v>嫌気無酸素好気法</v>
          </cell>
          <cell r="AS1671" t="str">
            <v>3310001006</v>
          </cell>
          <cell r="AT1671" t="str">
            <v/>
          </cell>
          <cell r="AU1671" t="str">
            <v>00</v>
          </cell>
          <cell r="AV1671" t="str">
            <v>00</v>
          </cell>
          <cell r="AW1671">
            <v>1</v>
          </cell>
          <cell r="AX1671">
            <v>0</v>
          </cell>
          <cell r="AY1671">
            <v>0</v>
          </cell>
          <cell r="AZ1671">
            <v>0</v>
          </cell>
          <cell r="BA1671">
            <v>0</v>
          </cell>
          <cell r="BD1671" t="str">
            <v/>
          </cell>
          <cell r="BE1671">
            <v>1</v>
          </cell>
          <cell r="BG1671" t="str">
            <v>1001</v>
          </cell>
        </row>
        <row r="1672">
          <cell r="B1672" t="str">
            <v>G331000106100700</v>
          </cell>
          <cell r="C1672" t="str">
            <v>33.岡山県</v>
          </cell>
          <cell r="D1672" t="str">
            <v>100</v>
          </cell>
          <cell r="E1672" t="str">
            <v>岡山市</v>
          </cell>
          <cell r="F1672" t="str">
            <v>01</v>
          </cell>
          <cell r="G1672" t="str">
            <v>公共 単独</v>
          </cell>
          <cell r="H1672" t="str">
            <v>公共下水道</v>
          </cell>
          <cell r="I1672" t="str">
            <v>単独</v>
          </cell>
          <cell r="J1672" t="str">
            <v>007</v>
          </cell>
          <cell r="K1672" t="str">
            <v>足守浄化センター</v>
          </cell>
          <cell r="M1672" t="str">
            <v>1</v>
          </cell>
          <cell r="N1672" t="str">
            <v>1</v>
          </cell>
          <cell r="Q1672">
            <v>38047</v>
          </cell>
          <cell r="R1672" t="str">
            <v>平成</v>
          </cell>
          <cell r="S1672">
            <v>16</v>
          </cell>
          <cell r="T1672">
            <v>3</v>
          </cell>
          <cell r="AB1672">
            <v>4500</v>
          </cell>
          <cell r="AC1672" t="str">
            <v>足守川上流</v>
          </cell>
          <cell r="AD1672" t="str">
            <v>Ａ</v>
          </cell>
          <cell r="AE1672" t="str">
            <v>ハ</v>
          </cell>
          <cell r="AF1672">
            <v>10</v>
          </cell>
          <cell r="AG1672">
            <v>10</v>
          </cell>
          <cell r="AH1672">
            <v>1</v>
          </cell>
          <cell r="AI1672" t="str">
            <v>深茂川</v>
          </cell>
          <cell r="AJ1672" t="str">
            <v>笹ヶ瀬川</v>
          </cell>
          <cell r="AQ1672" t="str">
            <v/>
          </cell>
          <cell r="AR1672" t="str">
            <v>高度処理オキシディションディッチ法</v>
          </cell>
          <cell r="AS1672" t="str">
            <v>3310001007</v>
          </cell>
          <cell r="AT1672" t="str">
            <v/>
          </cell>
          <cell r="AU1672" t="str">
            <v>10</v>
          </cell>
          <cell r="AV1672" t="str">
            <v>10</v>
          </cell>
          <cell r="AW1672">
            <v>0</v>
          </cell>
          <cell r="AX1672">
            <v>0</v>
          </cell>
          <cell r="AY1672">
            <v>0</v>
          </cell>
          <cell r="AZ1672">
            <v>0</v>
          </cell>
          <cell r="BA1672">
            <v>0</v>
          </cell>
          <cell r="BD1672" t="str">
            <v/>
          </cell>
          <cell r="BE1672">
            <v>1</v>
          </cell>
          <cell r="BG1672" t="str">
            <v>1100</v>
          </cell>
        </row>
        <row r="1673">
          <cell r="B1673" t="str">
            <v>G331000206100800</v>
          </cell>
          <cell r="C1673" t="str">
            <v>33.岡山県</v>
          </cell>
          <cell r="D1673" t="str">
            <v>100</v>
          </cell>
          <cell r="E1673" t="str">
            <v>岡山市</v>
          </cell>
          <cell r="F1673" t="str">
            <v>02</v>
          </cell>
          <cell r="G1673" t="str">
            <v>特環 単独</v>
          </cell>
          <cell r="H1673" t="str">
            <v>特定環境保全公共下水道</v>
          </cell>
          <cell r="I1673" t="str">
            <v>単独</v>
          </cell>
          <cell r="J1673" t="str">
            <v>008</v>
          </cell>
          <cell r="K1673" t="str">
            <v>野々口浄化センター</v>
          </cell>
          <cell r="M1673" t="str">
            <v>1</v>
          </cell>
          <cell r="N1673" t="str">
            <v>1</v>
          </cell>
          <cell r="Q1673">
            <v>36220</v>
          </cell>
          <cell r="R1673" t="str">
            <v>平成</v>
          </cell>
          <cell r="S1673">
            <v>11</v>
          </cell>
          <cell r="T1673">
            <v>3</v>
          </cell>
          <cell r="AB1673">
            <v>6949</v>
          </cell>
          <cell r="AC1673" t="str">
            <v>旭川中流</v>
          </cell>
          <cell r="AD1673" t="str">
            <v>Ａ</v>
          </cell>
          <cell r="AE1673" t="str">
            <v>イ</v>
          </cell>
          <cell r="AF1673">
            <v>15</v>
          </cell>
          <cell r="AG1673">
            <v>10</v>
          </cell>
          <cell r="AH1673">
            <v>1</v>
          </cell>
          <cell r="AI1673" t="str">
            <v>野々口川</v>
          </cell>
          <cell r="AK1673" t="str">
            <v>旭川</v>
          </cell>
          <cell r="AL1673" t="str">
            <v>岡山市牟佐浄水場</v>
          </cell>
          <cell r="AN1673">
            <v>10</v>
          </cell>
          <cell r="AO1673" t="str">
            <v>岡山市</v>
          </cell>
          <cell r="AQ1673" t="str">
            <v/>
          </cell>
          <cell r="AR1673" t="str">
            <v>オキシディションディッチ法</v>
          </cell>
          <cell r="AS1673" t="str">
            <v>3310002008</v>
          </cell>
          <cell r="AT1673" t="str">
            <v/>
          </cell>
          <cell r="AU1673" t="str">
            <v>10</v>
          </cell>
          <cell r="AV1673" t="str">
            <v>10</v>
          </cell>
          <cell r="AW1673">
            <v>0</v>
          </cell>
          <cell r="AX1673">
            <v>0</v>
          </cell>
          <cell r="AY1673">
            <v>0</v>
          </cell>
          <cell r="AZ1673">
            <v>0</v>
          </cell>
          <cell r="BA1673">
            <v>0</v>
          </cell>
          <cell r="BD1673" t="str">
            <v/>
          </cell>
          <cell r="BE1673">
            <v>1</v>
          </cell>
          <cell r="BG1673" t="str">
            <v>1100</v>
          </cell>
        </row>
        <row r="1674">
          <cell r="B1674" t="str">
            <v>G331000206100900</v>
          </cell>
          <cell r="C1674" t="str">
            <v>33.岡山県</v>
          </cell>
          <cell r="D1674" t="str">
            <v>100</v>
          </cell>
          <cell r="E1674" t="str">
            <v>岡山市</v>
          </cell>
          <cell r="F1674" t="str">
            <v>02</v>
          </cell>
          <cell r="G1674" t="str">
            <v>特環 単独</v>
          </cell>
          <cell r="H1674" t="str">
            <v>特定環境保全公共下水道</v>
          </cell>
          <cell r="I1674" t="str">
            <v>単独</v>
          </cell>
          <cell r="J1674" t="str">
            <v>009</v>
          </cell>
          <cell r="K1674" t="str">
            <v>中原浄化センター</v>
          </cell>
          <cell r="M1674" t="str">
            <v>1</v>
          </cell>
          <cell r="N1674" t="str">
            <v>1</v>
          </cell>
          <cell r="Q1674">
            <v>36434</v>
          </cell>
          <cell r="R1674" t="str">
            <v>平成</v>
          </cell>
          <cell r="S1674">
            <v>11</v>
          </cell>
          <cell r="T1674">
            <v>10</v>
          </cell>
          <cell r="AB1674">
            <v>5140</v>
          </cell>
          <cell r="AC1674" t="str">
            <v>旭川中流</v>
          </cell>
          <cell r="AD1674" t="str">
            <v>Ａ</v>
          </cell>
          <cell r="AE1674" t="str">
            <v>イ</v>
          </cell>
          <cell r="AF1674">
            <v>8</v>
          </cell>
          <cell r="AG1674">
            <v>7.7</v>
          </cell>
          <cell r="AH1674">
            <v>2.6</v>
          </cell>
          <cell r="AI1674" t="str">
            <v>中原川</v>
          </cell>
          <cell r="AK1674" t="str">
            <v>旭川</v>
          </cell>
          <cell r="AL1674" t="str">
            <v>中原取水場</v>
          </cell>
          <cell r="AN1674">
            <v>0.5</v>
          </cell>
          <cell r="AO1674" t="str">
            <v>岡山市</v>
          </cell>
          <cell r="AQ1674" t="str">
            <v/>
          </cell>
          <cell r="AR1674" t="str">
            <v>高度処理オキシディションディッチ法</v>
          </cell>
          <cell r="AS1674" t="str">
            <v>3310002009</v>
          </cell>
          <cell r="AT1674" t="str">
            <v/>
          </cell>
          <cell r="AU1674" t="str">
            <v>10</v>
          </cell>
          <cell r="AV1674" t="str">
            <v>10</v>
          </cell>
          <cell r="AW1674">
            <v>0</v>
          </cell>
          <cell r="AX1674">
            <v>0</v>
          </cell>
          <cell r="AY1674">
            <v>0</v>
          </cell>
          <cell r="AZ1674">
            <v>0</v>
          </cell>
          <cell r="BA1674">
            <v>0</v>
          </cell>
          <cell r="BD1674" t="str">
            <v/>
          </cell>
          <cell r="BE1674">
            <v>1</v>
          </cell>
          <cell r="BG1674" t="str">
            <v>1100</v>
          </cell>
        </row>
        <row r="1675">
          <cell r="B1675" t="str">
            <v>G331000206101000</v>
          </cell>
          <cell r="C1675" t="str">
            <v>33.岡山県</v>
          </cell>
          <cell r="D1675" t="str">
            <v>100</v>
          </cell>
          <cell r="E1675" t="str">
            <v>岡山市</v>
          </cell>
          <cell r="F1675" t="str">
            <v>02</v>
          </cell>
          <cell r="G1675" t="str">
            <v>特環 単独</v>
          </cell>
          <cell r="H1675" t="str">
            <v>特定環境保全公共下水道</v>
          </cell>
          <cell r="I1675" t="str">
            <v>単独</v>
          </cell>
          <cell r="J1675" t="str">
            <v>010</v>
          </cell>
          <cell r="K1675" t="str">
            <v>建部浄化センター</v>
          </cell>
          <cell r="M1675" t="str">
            <v>1</v>
          </cell>
          <cell r="N1675" t="str">
            <v>1</v>
          </cell>
          <cell r="Q1675">
            <v>36951</v>
          </cell>
          <cell r="R1675" t="str">
            <v>平成</v>
          </cell>
          <cell r="S1675">
            <v>13</v>
          </cell>
          <cell r="T1675">
            <v>3</v>
          </cell>
          <cell r="AB1675">
            <v>15800</v>
          </cell>
          <cell r="AC1675" t="str">
            <v>旭川中流</v>
          </cell>
          <cell r="AD1675" t="str">
            <v>Ａ</v>
          </cell>
          <cell r="AE1675" t="str">
            <v>イ</v>
          </cell>
          <cell r="AF1675">
            <v>15</v>
          </cell>
          <cell r="AG1675">
            <v>20</v>
          </cell>
          <cell r="AH1675">
            <v>2</v>
          </cell>
          <cell r="AI1675" t="str">
            <v>横折川</v>
          </cell>
          <cell r="AK1675" t="str">
            <v>旭川</v>
          </cell>
          <cell r="AL1675" t="str">
            <v>川口上水場</v>
          </cell>
          <cell r="AM1675">
            <v>7.1</v>
          </cell>
          <cell r="AO1675" t="str">
            <v>岡山市</v>
          </cell>
          <cell r="AQ1675" t="str">
            <v/>
          </cell>
          <cell r="AR1675" t="str">
            <v>オキシディションディッチ法</v>
          </cell>
          <cell r="AS1675" t="str">
            <v>3310002010</v>
          </cell>
          <cell r="AT1675" t="str">
            <v/>
          </cell>
          <cell r="AU1675" t="str">
            <v>10</v>
          </cell>
          <cell r="AV1675" t="str">
            <v>10</v>
          </cell>
          <cell r="AW1675">
            <v>0</v>
          </cell>
          <cell r="AX1675">
            <v>0</v>
          </cell>
          <cell r="AY1675">
            <v>0</v>
          </cell>
          <cell r="AZ1675">
            <v>0</v>
          </cell>
          <cell r="BA1675">
            <v>0</v>
          </cell>
          <cell r="BD1675" t="str">
            <v/>
          </cell>
          <cell r="BE1675">
            <v>1</v>
          </cell>
          <cell r="BG1675" t="str">
            <v>1100</v>
          </cell>
        </row>
        <row r="1676">
          <cell r="B1676" t="str">
            <v>G331000206101100</v>
          </cell>
          <cell r="C1676" t="str">
            <v>33.岡山県</v>
          </cell>
          <cell r="D1676" t="str">
            <v>100</v>
          </cell>
          <cell r="E1676" t="str">
            <v>岡山市</v>
          </cell>
          <cell r="F1676" t="str">
            <v>02</v>
          </cell>
          <cell r="G1676" t="str">
            <v>特環 単独</v>
          </cell>
          <cell r="H1676" t="str">
            <v>特定環境保全公共下水道</v>
          </cell>
          <cell r="I1676" t="str">
            <v>単独</v>
          </cell>
          <cell r="J1676" t="str">
            <v>011</v>
          </cell>
          <cell r="K1676" t="str">
            <v>御津中央浄化センター</v>
          </cell>
          <cell r="M1676" t="str">
            <v>1</v>
          </cell>
          <cell r="N1676" t="str">
            <v>1</v>
          </cell>
          <cell r="Q1676">
            <v>38412</v>
          </cell>
          <cell r="R1676" t="str">
            <v>平成</v>
          </cell>
          <cell r="S1676">
            <v>17</v>
          </cell>
          <cell r="T1676">
            <v>3</v>
          </cell>
          <cell r="AB1676">
            <v>15340</v>
          </cell>
          <cell r="AC1676" t="str">
            <v>旭川中流</v>
          </cell>
          <cell r="AD1676" t="str">
            <v>Ａ</v>
          </cell>
          <cell r="AE1676" t="str">
            <v>イ</v>
          </cell>
          <cell r="AF1676">
            <v>15</v>
          </cell>
          <cell r="AG1676">
            <v>10</v>
          </cell>
          <cell r="AH1676">
            <v>1</v>
          </cell>
          <cell r="AK1676" t="str">
            <v>旭川</v>
          </cell>
          <cell r="AL1676" t="str">
            <v>岡山市牟佐浄水場</v>
          </cell>
          <cell r="AN1676">
            <v>11</v>
          </cell>
          <cell r="AO1676" t="str">
            <v>岡山市</v>
          </cell>
          <cell r="AQ1676" t="str">
            <v/>
          </cell>
          <cell r="AR1676" t="str">
            <v>高度処理オキシディションディッチ法</v>
          </cell>
          <cell r="AS1676" t="str">
            <v>3310002011</v>
          </cell>
          <cell r="AT1676" t="str">
            <v/>
          </cell>
          <cell r="AU1676" t="str">
            <v>10</v>
          </cell>
          <cell r="AV1676" t="str">
            <v>10</v>
          </cell>
          <cell r="AW1676">
            <v>0</v>
          </cell>
          <cell r="AX1676">
            <v>0</v>
          </cell>
          <cell r="AY1676">
            <v>0</v>
          </cell>
          <cell r="AZ1676">
            <v>0</v>
          </cell>
          <cell r="BA1676">
            <v>0</v>
          </cell>
          <cell r="BD1676" t="str">
            <v/>
          </cell>
          <cell r="BE1676">
            <v>1</v>
          </cell>
          <cell r="BG1676" t="str">
            <v>1100</v>
          </cell>
        </row>
        <row r="1677">
          <cell r="B1677" t="str">
            <v>G332020106100200</v>
          </cell>
          <cell r="C1677" t="str">
            <v>33.岡山県</v>
          </cell>
          <cell r="D1677" t="str">
            <v>202</v>
          </cell>
          <cell r="E1677" t="str">
            <v>倉敷市</v>
          </cell>
          <cell r="F1677" t="str">
            <v>01</v>
          </cell>
          <cell r="G1677" t="str">
            <v>公共 単独</v>
          </cell>
          <cell r="H1677" t="str">
            <v>公共下水道</v>
          </cell>
          <cell r="I1677" t="str">
            <v>単独</v>
          </cell>
          <cell r="J1677" t="str">
            <v>002</v>
          </cell>
          <cell r="K1677" t="str">
            <v>児島下水処理場</v>
          </cell>
          <cell r="M1677" t="str">
            <v>1</v>
          </cell>
          <cell r="N1677" t="str">
            <v>1</v>
          </cell>
          <cell r="Q1677">
            <v>25750</v>
          </cell>
          <cell r="R1677" t="str">
            <v>昭和</v>
          </cell>
          <cell r="S1677">
            <v>45</v>
          </cell>
          <cell r="T1677">
            <v>7</v>
          </cell>
          <cell r="AB1677">
            <v>78500</v>
          </cell>
          <cell r="AC1677" t="str">
            <v>備讃瀬戸児島地先海域</v>
          </cell>
          <cell r="AD1677" t="str">
            <v>Ａ</v>
          </cell>
          <cell r="AE1677" t="str">
            <v>イ</v>
          </cell>
          <cell r="AF1677">
            <v>14.8</v>
          </cell>
          <cell r="AG1677">
            <v>20</v>
          </cell>
          <cell r="AH1677">
            <v>1.9</v>
          </cell>
          <cell r="AI1677" t="str">
            <v>備讃瀬戸児島地先海域</v>
          </cell>
          <cell r="AQ1677" t="str">
            <v/>
          </cell>
          <cell r="AR1677" t="str">
            <v>ステップ流入式多段硝化脱窒法</v>
          </cell>
          <cell r="AS1677" t="str">
            <v>3320201002</v>
          </cell>
          <cell r="AT1677" t="str">
            <v/>
          </cell>
          <cell r="AU1677" t="str">
            <v>10</v>
          </cell>
          <cell r="AV1677" t="str">
            <v>10</v>
          </cell>
          <cell r="AW1677">
            <v>0</v>
          </cell>
          <cell r="AX1677">
            <v>0</v>
          </cell>
          <cell r="AY1677">
            <v>0</v>
          </cell>
          <cell r="AZ1677">
            <v>0</v>
          </cell>
          <cell r="BA1677">
            <v>0</v>
          </cell>
          <cell r="BD1677" t="str">
            <v/>
          </cell>
          <cell r="BE1677">
            <v>1</v>
          </cell>
          <cell r="BG1677" t="str">
            <v>1100</v>
          </cell>
        </row>
        <row r="1678">
          <cell r="B1678" t="str">
            <v>G332020106100300</v>
          </cell>
          <cell r="C1678" t="str">
            <v>33.岡山県</v>
          </cell>
          <cell r="D1678" t="str">
            <v>202</v>
          </cell>
          <cell r="E1678" t="str">
            <v>倉敷市</v>
          </cell>
          <cell r="F1678" t="str">
            <v>01</v>
          </cell>
          <cell r="G1678" t="str">
            <v>公共 単独</v>
          </cell>
          <cell r="H1678" t="str">
            <v>公共下水道</v>
          </cell>
          <cell r="I1678" t="str">
            <v>単独</v>
          </cell>
          <cell r="J1678" t="str">
            <v>003</v>
          </cell>
          <cell r="K1678" t="str">
            <v>水島下水処理場</v>
          </cell>
          <cell r="M1678" t="str">
            <v>1</v>
          </cell>
          <cell r="N1678" t="str">
            <v>1</v>
          </cell>
          <cell r="Q1678">
            <v>27851</v>
          </cell>
          <cell r="R1678" t="str">
            <v>昭和</v>
          </cell>
          <cell r="S1678">
            <v>51</v>
          </cell>
          <cell r="T1678">
            <v>4</v>
          </cell>
          <cell r="AB1678">
            <v>52900</v>
          </cell>
          <cell r="AC1678" t="str">
            <v>水島地先海域　甲</v>
          </cell>
          <cell r="AD1678" t="str">
            <v>Ｂ-Ⅱ</v>
          </cell>
          <cell r="AE1678" t="str">
            <v>イ</v>
          </cell>
          <cell r="AF1678">
            <v>14.5</v>
          </cell>
          <cell r="AG1678">
            <v>17.899999999999999</v>
          </cell>
          <cell r="AH1678">
            <v>1.7</v>
          </cell>
          <cell r="AK1678" t="str">
            <v>高梁川</v>
          </cell>
          <cell r="AL1678" t="str">
            <v>片島浄水場</v>
          </cell>
          <cell r="AM1678">
            <v>4.5999999999999996</v>
          </cell>
          <cell r="AO1678" t="str">
            <v>倉敷市</v>
          </cell>
          <cell r="AQ1678" t="str">
            <v/>
          </cell>
          <cell r="AR1678" t="str">
            <v>標準活性汚泥法</v>
          </cell>
          <cell r="AS1678" t="str">
            <v>3320201003</v>
          </cell>
          <cell r="AT1678" t="str">
            <v/>
          </cell>
          <cell r="AU1678" t="str">
            <v>10</v>
          </cell>
          <cell r="AV1678" t="str">
            <v>10</v>
          </cell>
          <cell r="AW1678">
            <v>0</v>
          </cell>
          <cell r="AX1678">
            <v>0</v>
          </cell>
          <cell r="AY1678">
            <v>0</v>
          </cell>
          <cell r="AZ1678">
            <v>0</v>
          </cell>
          <cell r="BA1678">
            <v>0</v>
          </cell>
          <cell r="BD1678" t="str">
            <v/>
          </cell>
          <cell r="BE1678">
            <v>1</v>
          </cell>
          <cell r="BG1678" t="str">
            <v>1100</v>
          </cell>
        </row>
        <row r="1679">
          <cell r="B1679" t="str">
            <v>G332020106100400</v>
          </cell>
          <cell r="C1679" t="str">
            <v>33.岡山県</v>
          </cell>
          <cell r="D1679" t="str">
            <v>202</v>
          </cell>
          <cell r="E1679" t="str">
            <v>倉敷市</v>
          </cell>
          <cell r="F1679" t="str">
            <v>01</v>
          </cell>
          <cell r="G1679" t="str">
            <v>公共 単独</v>
          </cell>
          <cell r="H1679" t="str">
            <v>公共下水道</v>
          </cell>
          <cell r="I1679" t="str">
            <v>単独</v>
          </cell>
          <cell r="J1679" t="str">
            <v>004</v>
          </cell>
          <cell r="K1679" t="str">
            <v>玉島下水処理場</v>
          </cell>
          <cell r="M1679" t="str">
            <v>1</v>
          </cell>
          <cell r="N1679" t="str">
            <v>1</v>
          </cell>
          <cell r="O1679" t="str">
            <v>1</v>
          </cell>
          <cell r="Q1679">
            <v>30103</v>
          </cell>
          <cell r="R1679" t="str">
            <v>昭和</v>
          </cell>
          <cell r="S1679">
            <v>57</v>
          </cell>
          <cell r="T1679">
            <v>6</v>
          </cell>
          <cell r="AB1679">
            <v>149180</v>
          </cell>
          <cell r="AC1679" t="str">
            <v>水島地先海域　甲</v>
          </cell>
          <cell r="AD1679" t="str">
            <v>Ｂ-Ⅱ</v>
          </cell>
          <cell r="AE1679" t="str">
            <v>イ</v>
          </cell>
          <cell r="AF1679">
            <v>14.6</v>
          </cell>
          <cell r="AG1679">
            <v>20</v>
          </cell>
          <cell r="AH1679">
            <v>2</v>
          </cell>
          <cell r="AI1679" t="str">
            <v>水島地先海域　甲</v>
          </cell>
          <cell r="AQ1679" t="str">
            <v/>
          </cell>
          <cell r="AR1679" t="str">
            <v>標準活性汚泥法</v>
          </cell>
          <cell r="AS1679" t="str">
            <v>3320201004</v>
          </cell>
          <cell r="AT1679" t="str">
            <v/>
          </cell>
          <cell r="AU1679" t="str">
            <v>11</v>
          </cell>
          <cell r="AV1679" t="str">
            <v>11</v>
          </cell>
          <cell r="AW1679">
            <v>0</v>
          </cell>
          <cell r="AX1679">
            <v>0</v>
          </cell>
          <cell r="AY1679">
            <v>0</v>
          </cell>
          <cell r="AZ1679">
            <v>0</v>
          </cell>
          <cell r="BA1679">
            <v>0</v>
          </cell>
          <cell r="BD1679" t="str">
            <v/>
          </cell>
          <cell r="BE1679">
            <v>1</v>
          </cell>
          <cell r="BG1679" t="str">
            <v>1110</v>
          </cell>
        </row>
        <row r="1680">
          <cell r="B1680" t="str">
            <v>G332020106100500</v>
          </cell>
          <cell r="C1680" t="str">
            <v>33.岡山県</v>
          </cell>
          <cell r="D1680" t="str">
            <v>202</v>
          </cell>
          <cell r="E1680" t="str">
            <v>倉敷市</v>
          </cell>
          <cell r="F1680" t="str">
            <v>01</v>
          </cell>
          <cell r="G1680" t="str">
            <v>公共 単独</v>
          </cell>
          <cell r="H1680" t="str">
            <v>公共下水道</v>
          </cell>
          <cell r="I1680" t="str">
            <v>単独</v>
          </cell>
          <cell r="J1680" t="str">
            <v>005</v>
          </cell>
          <cell r="K1680" t="str">
            <v>真備浄化センター</v>
          </cell>
          <cell r="M1680" t="str">
            <v>1</v>
          </cell>
          <cell r="N1680" t="str">
            <v>1</v>
          </cell>
          <cell r="Q1680">
            <v>38047</v>
          </cell>
          <cell r="R1680" t="str">
            <v>平成</v>
          </cell>
          <cell r="S1680">
            <v>16</v>
          </cell>
          <cell r="T1680">
            <v>3</v>
          </cell>
          <cell r="AB1680">
            <v>43600</v>
          </cell>
          <cell r="AC1680" t="str">
            <v>小田川下流</v>
          </cell>
          <cell r="AD1680" t="str">
            <v>Ｂ</v>
          </cell>
          <cell r="AE1680" t="str">
            <v>イ</v>
          </cell>
          <cell r="AF1680">
            <v>14.6</v>
          </cell>
          <cell r="AG1680">
            <v>14.2</v>
          </cell>
          <cell r="AH1680">
            <v>1.3</v>
          </cell>
          <cell r="AK1680" t="str">
            <v>小田川</v>
          </cell>
          <cell r="AL1680" t="str">
            <v>県南部水道企業団</v>
          </cell>
          <cell r="AN1680">
            <v>6</v>
          </cell>
          <cell r="AO1680" t="str">
            <v>倉敷市　玉野市</v>
          </cell>
          <cell r="AQ1680" t="str">
            <v/>
          </cell>
          <cell r="AR1680" t="str">
            <v>高度処理オキシディションディッチ法</v>
          </cell>
          <cell r="AS1680" t="str">
            <v>3320201005</v>
          </cell>
          <cell r="AT1680" t="str">
            <v/>
          </cell>
          <cell r="AU1680" t="str">
            <v>10</v>
          </cell>
          <cell r="AV1680" t="str">
            <v>10</v>
          </cell>
          <cell r="AW1680">
            <v>0</v>
          </cell>
          <cell r="AX1680">
            <v>0</v>
          </cell>
          <cell r="AY1680">
            <v>0</v>
          </cell>
          <cell r="AZ1680">
            <v>0</v>
          </cell>
          <cell r="BA1680">
            <v>0</v>
          </cell>
          <cell r="BD1680" t="str">
            <v/>
          </cell>
          <cell r="BE1680">
            <v>1</v>
          </cell>
          <cell r="BG1680" t="str">
            <v>1100</v>
          </cell>
        </row>
        <row r="1681">
          <cell r="B1681" t="str">
            <v>G332030106100100</v>
          </cell>
          <cell r="C1681" t="str">
            <v>33.岡山県</v>
          </cell>
          <cell r="D1681" t="str">
            <v>203</v>
          </cell>
          <cell r="E1681" t="str">
            <v>津山市</v>
          </cell>
          <cell r="F1681" t="str">
            <v>01</v>
          </cell>
          <cell r="G1681" t="str">
            <v>公共 単独</v>
          </cell>
          <cell r="H1681" t="str">
            <v>公共下水道</v>
          </cell>
          <cell r="I1681" t="str">
            <v>単独</v>
          </cell>
          <cell r="J1681" t="str">
            <v>001</v>
          </cell>
          <cell r="K1681" t="str">
            <v>津山浄化センター</v>
          </cell>
          <cell r="M1681" t="str">
            <v>1</v>
          </cell>
          <cell r="N1681" t="str">
            <v>1</v>
          </cell>
          <cell r="Q1681">
            <v>33298</v>
          </cell>
          <cell r="R1681" t="str">
            <v>平成</v>
          </cell>
          <cell r="S1681">
            <v>3</v>
          </cell>
          <cell r="T1681">
            <v>3</v>
          </cell>
          <cell r="AB1681">
            <v>91800</v>
          </cell>
          <cell r="AC1681" t="str">
            <v>吉井川中・下流</v>
          </cell>
          <cell r="AD1681" t="str">
            <v>Ｂ</v>
          </cell>
          <cell r="AE1681" t="str">
            <v>ロ</v>
          </cell>
          <cell r="AF1681">
            <v>15</v>
          </cell>
          <cell r="AG1681">
            <v>20</v>
          </cell>
          <cell r="AH1681">
            <v>2</v>
          </cell>
          <cell r="AK1681" t="str">
            <v>吉井川</v>
          </cell>
          <cell r="AL1681" t="str">
            <v>北部簡易水道</v>
          </cell>
          <cell r="AN1681">
            <v>7</v>
          </cell>
          <cell r="AO1681" t="str">
            <v>美咲町</v>
          </cell>
          <cell r="AQ1681" t="str">
            <v/>
          </cell>
          <cell r="AR1681" t="str">
            <v>標準活性汚泥法</v>
          </cell>
          <cell r="AS1681" t="str">
            <v>3320301001</v>
          </cell>
          <cell r="AT1681" t="str">
            <v/>
          </cell>
          <cell r="AU1681" t="str">
            <v>10</v>
          </cell>
          <cell r="AV1681" t="str">
            <v>10</v>
          </cell>
          <cell r="AW1681">
            <v>0</v>
          </cell>
          <cell r="AX1681">
            <v>0</v>
          </cell>
          <cell r="AY1681">
            <v>0</v>
          </cell>
          <cell r="AZ1681">
            <v>0</v>
          </cell>
          <cell r="BA1681">
            <v>0</v>
          </cell>
          <cell r="BD1681" t="str">
            <v/>
          </cell>
          <cell r="BE1681">
            <v>1</v>
          </cell>
          <cell r="BG1681" t="str">
            <v>1100</v>
          </cell>
        </row>
        <row r="1682">
          <cell r="B1682" t="str">
            <v>G332030106100200</v>
          </cell>
          <cell r="C1682" t="str">
            <v>33.岡山県</v>
          </cell>
          <cell r="D1682" t="str">
            <v>203</v>
          </cell>
          <cell r="E1682" t="str">
            <v>津山市</v>
          </cell>
          <cell r="F1682" t="str">
            <v>01</v>
          </cell>
          <cell r="G1682" t="str">
            <v>公共 単独</v>
          </cell>
          <cell r="H1682" t="str">
            <v>公共下水道</v>
          </cell>
          <cell r="I1682" t="str">
            <v>単独</v>
          </cell>
          <cell r="J1682" t="str">
            <v>002</v>
          </cell>
          <cell r="K1682" t="str">
            <v>勝北浄化センター</v>
          </cell>
          <cell r="M1682" t="str">
            <v>1</v>
          </cell>
          <cell r="N1682" t="str">
            <v>1</v>
          </cell>
          <cell r="Q1682">
            <v>37347</v>
          </cell>
          <cell r="R1682" t="str">
            <v>平成</v>
          </cell>
          <cell r="S1682">
            <v>14</v>
          </cell>
          <cell r="T1682">
            <v>4</v>
          </cell>
          <cell r="AB1682">
            <v>18232</v>
          </cell>
          <cell r="AC1682" t="str">
            <v>吉井川中・下流</v>
          </cell>
          <cell r="AD1682" t="str">
            <v>Ｂ</v>
          </cell>
          <cell r="AE1682" t="str">
            <v>ロ</v>
          </cell>
          <cell r="AF1682">
            <v>15</v>
          </cell>
          <cell r="AG1682">
            <v>20</v>
          </cell>
          <cell r="AH1682">
            <v>2</v>
          </cell>
          <cell r="AK1682" t="str">
            <v>広戸川</v>
          </cell>
          <cell r="AL1682" t="str">
            <v>北部簡易水道</v>
          </cell>
          <cell r="AN1682">
            <v>20</v>
          </cell>
          <cell r="AO1682" t="str">
            <v>美咲町</v>
          </cell>
          <cell r="AQ1682" t="str">
            <v/>
          </cell>
          <cell r="AR1682" t="str">
            <v>オキシディションディッチ法</v>
          </cell>
          <cell r="AS1682" t="str">
            <v>3320301002</v>
          </cell>
          <cell r="AT1682" t="str">
            <v/>
          </cell>
          <cell r="AU1682" t="str">
            <v>10</v>
          </cell>
          <cell r="AV1682" t="str">
            <v>10</v>
          </cell>
          <cell r="AW1682">
            <v>0</v>
          </cell>
          <cell r="AX1682">
            <v>0</v>
          </cell>
          <cell r="AY1682">
            <v>0</v>
          </cell>
          <cell r="AZ1682">
            <v>0</v>
          </cell>
          <cell r="BA1682">
            <v>0</v>
          </cell>
          <cell r="BD1682" t="str">
            <v/>
          </cell>
          <cell r="BE1682">
            <v>1</v>
          </cell>
          <cell r="BG1682" t="str">
            <v>1100</v>
          </cell>
        </row>
        <row r="1683">
          <cell r="B1683" t="str">
            <v>G332030206100300</v>
          </cell>
          <cell r="C1683" t="str">
            <v>33.岡山県</v>
          </cell>
          <cell r="D1683" t="str">
            <v>203</v>
          </cell>
          <cell r="E1683" t="str">
            <v>津山市</v>
          </cell>
          <cell r="F1683" t="str">
            <v>02</v>
          </cell>
          <cell r="G1683" t="str">
            <v>特環 単独</v>
          </cell>
          <cell r="H1683" t="str">
            <v>特定環境保全公共下水道</v>
          </cell>
          <cell r="I1683" t="str">
            <v>単独</v>
          </cell>
          <cell r="J1683" t="str">
            <v>003</v>
          </cell>
          <cell r="K1683" t="str">
            <v>加茂町浄化センター</v>
          </cell>
          <cell r="M1683" t="str">
            <v>1</v>
          </cell>
          <cell r="N1683" t="str">
            <v>1</v>
          </cell>
          <cell r="Q1683">
            <v>37316</v>
          </cell>
          <cell r="R1683" t="str">
            <v>平成</v>
          </cell>
          <cell r="S1683">
            <v>14</v>
          </cell>
          <cell r="T1683">
            <v>3</v>
          </cell>
          <cell r="AB1683">
            <v>5400</v>
          </cell>
          <cell r="AC1683" t="str">
            <v>加茂川</v>
          </cell>
          <cell r="AD1683" t="str">
            <v>Ａ</v>
          </cell>
          <cell r="AE1683" t="str">
            <v>イ</v>
          </cell>
          <cell r="AF1683">
            <v>15</v>
          </cell>
          <cell r="AG1683">
            <v>10</v>
          </cell>
          <cell r="AH1683">
            <v>1</v>
          </cell>
          <cell r="AK1683" t="str">
            <v>加茂川</v>
          </cell>
          <cell r="AL1683" t="str">
            <v>八重取水口</v>
          </cell>
          <cell r="AN1683">
            <v>6</v>
          </cell>
          <cell r="AO1683" t="str">
            <v>津山市</v>
          </cell>
          <cell r="AQ1683" t="str">
            <v/>
          </cell>
          <cell r="AR1683" t="str">
            <v>オキシディションディッチ法</v>
          </cell>
          <cell r="AS1683" t="str">
            <v>3320302003</v>
          </cell>
          <cell r="AT1683" t="str">
            <v/>
          </cell>
          <cell r="AU1683" t="str">
            <v>10</v>
          </cell>
          <cell r="AV1683" t="str">
            <v>10</v>
          </cell>
          <cell r="AW1683">
            <v>0</v>
          </cell>
          <cell r="AX1683">
            <v>0</v>
          </cell>
          <cell r="AY1683">
            <v>0</v>
          </cell>
          <cell r="AZ1683">
            <v>0</v>
          </cell>
          <cell r="BA1683">
            <v>0</v>
          </cell>
          <cell r="BD1683" t="str">
            <v/>
          </cell>
          <cell r="BE1683">
            <v>1</v>
          </cell>
          <cell r="BG1683" t="str">
            <v>1100</v>
          </cell>
        </row>
        <row r="1684">
          <cell r="B1684" t="str">
            <v>G332040106100100</v>
          </cell>
          <cell r="C1684" t="str">
            <v>33.岡山県</v>
          </cell>
          <cell r="D1684" t="str">
            <v>204</v>
          </cell>
          <cell r="E1684" t="str">
            <v>玉野市</v>
          </cell>
          <cell r="F1684" t="str">
            <v>01</v>
          </cell>
          <cell r="G1684" t="str">
            <v>公共 単独</v>
          </cell>
          <cell r="H1684" t="str">
            <v>公共下水道</v>
          </cell>
          <cell r="I1684" t="str">
            <v>単独</v>
          </cell>
          <cell r="J1684" t="str">
            <v>001</v>
          </cell>
          <cell r="K1684" t="str">
            <v>玉野浄化センター</v>
          </cell>
          <cell r="M1684" t="str">
            <v>1</v>
          </cell>
          <cell r="N1684" t="str">
            <v>1</v>
          </cell>
          <cell r="Q1684">
            <v>29677</v>
          </cell>
          <cell r="R1684" t="str">
            <v>昭和</v>
          </cell>
          <cell r="S1684">
            <v>56</v>
          </cell>
          <cell r="T1684">
            <v>4</v>
          </cell>
          <cell r="AB1684">
            <v>32800</v>
          </cell>
          <cell r="AC1684" t="str">
            <v>備讃瀬戸</v>
          </cell>
          <cell r="AD1684" t="str">
            <v>Ａ-Ⅱ</v>
          </cell>
          <cell r="AE1684" t="str">
            <v>イ</v>
          </cell>
          <cell r="AF1684">
            <v>15</v>
          </cell>
          <cell r="AI1684" t="str">
            <v>備讃瀬戸</v>
          </cell>
          <cell r="AQ1684" t="str">
            <v/>
          </cell>
          <cell r="AR1684" t="str">
            <v>標準活性汚泥法</v>
          </cell>
          <cell r="AS1684" t="str">
            <v>3320401001</v>
          </cell>
          <cell r="AT1684" t="str">
            <v/>
          </cell>
          <cell r="AU1684" t="str">
            <v>10</v>
          </cell>
          <cell r="AV1684" t="str">
            <v>10</v>
          </cell>
          <cell r="AW1684">
            <v>0</v>
          </cell>
          <cell r="AX1684">
            <v>0</v>
          </cell>
          <cell r="AY1684">
            <v>0</v>
          </cell>
          <cell r="AZ1684">
            <v>0</v>
          </cell>
          <cell r="BA1684">
            <v>0</v>
          </cell>
          <cell r="BD1684" t="str">
            <v/>
          </cell>
          <cell r="BE1684">
            <v>1</v>
          </cell>
          <cell r="BG1684" t="str">
            <v>1100</v>
          </cell>
        </row>
        <row r="1685">
          <cell r="B1685" t="str">
            <v>G332050106100100</v>
          </cell>
          <cell r="C1685" t="str">
            <v>33.岡山県</v>
          </cell>
          <cell r="D1685" t="str">
            <v>205</v>
          </cell>
          <cell r="E1685" t="str">
            <v>笠岡市</v>
          </cell>
          <cell r="F1685" t="str">
            <v>01</v>
          </cell>
          <cell r="G1685" t="str">
            <v>公共 単独</v>
          </cell>
          <cell r="H1685" t="str">
            <v>公共下水道</v>
          </cell>
          <cell r="I1685" t="str">
            <v>単独</v>
          </cell>
          <cell r="J1685" t="str">
            <v>001</v>
          </cell>
          <cell r="K1685" t="str">
            <v>笠岡終末処理場</v>
          </cell>
          <cell r="M1685" t="str">
            <v>1</v>
          </cell>
          <cell r="N1685" t="str">
            <v>1</v>
          </cell>
          <cell r="P1685" t="str">
            <v>1</v>
          </cell>
          <cell r="Q1685">
            <v>31503</v>
          </cell>
          <cell r="R1685" t="str">
            <v>昭和</v>
          </cell>
          <cell r="S1685">
            <v>61</v>
          </cell>
          <cell r="T1685">
            <v>4</v>
          </cell>
          <cell r="AB1685">
            <v>40000</v>
          </cell>
          <cell r="AC1685" t="str">
            <v>備讃瀬戸</v>
          </cell>
          <cell r="AD1685" t="str">
            <v>Ａ</v>
          </cell>
          <cell r="AE1685" t="str">
            <v>イ</v>
          </cell>
          <cell r="AF1685">
            <v>10</v>
          </cell>
          <cell r="AG1685">
            <v>10</v>
          </cell>
          <cell r="AH1685">
            <v>1</v>
          </cell>
          <cell r="AI1685" t="str">
            <v>笠岡港</v>
          </cell>
          <cell r="AQ1685" t="str">
            <v/>
          </cell>
          <cell r="AR1685" t="str">
            <v>循環式硝化脱窒法</v>
          </cell>
          <cell r="AS1685" t="str">
            <v>3320501001</v>
          </cell>
          <cell r="AT1685" t="str">
            <v/>
          </cell>
          <cell r="AU1685" t="str">
            <v>10</v>
          </cell>
          <cell r="AV1685" t="str">
            <v>10</v>
          </cell>
          <cell r="AW1685">
            <v>1</v>
          </cell>
          <cell r="AX1685">
            <v>0</v>
          </cell>
          <cell r="AY1685">
            <v>0</v>
          </cell>
          <cell r="AZ1685">
            <v>0</v>
          </cell>
          <cell r="BA1685">
            <v>0</v>
          </cell>
          <cell r="BD1685" t="str">
            <v/>
          </cell>
          <cell r="BE1685">
            <v>1</v>
          </cell>
          <cell r="BG1685" t="str">
            <v>1101</v>
          </cell>
        </row>
        <row r="1686">
          <cell r="B1686" t="str">
            <v>G332070106100100</v>
          </cell>
          <cell r="C1686" t="str">
            <v>33.岡山県</v>
          </cell>
          <cell r="D1686" t="str">
            <v>207</v>
          </cell>
          <cell r="E1686" t="str">
            <v>井原市</v>
          </cell>
          <cell r="F1686" t="str">
            <v>01</v>
          </cell>
          <cell r="G1686" t="str">
            <v>公共 単独</v>
          </cell>
          <cell r="H1686" t="str">
            <v>公共下水道</v>
          </cell>
          <cell r="I1686" t="str">
            <v>単独</v>
          </cell>
          <cell r="J1686" t="str">
            <v>001</v>
          </cell>
          <cell r="K1686" t="str">
            <v>井原浄化センター</v>
          </cell>
          <cell r="M1686" t="str">
            <v>1</v>
          </cell>
          <cell r="N1686" t="str">
            <v>1</v>
          </cell>
          <cell r="Q1686">
            <v>32690</v>
          </cell>
          <cell r="R1686" t="str">
            <v>平成</v>
          </cell>
          <cell r="S1686">
            <v>1</v>
          </cell>
          <cell r="T1686">
            <v>7</v>
          </cell>
          <cell r="AB1686">
            <v>36000</v>
          </cell>
          <cell r="AC1686" t="str">
            <v>高梁川</v>
          </cell>
          <cell r="AD1686" t="str">
            <v>Ｂ</v>
          </cell>
          <cell r="AE1686" t="str">
            <v>イ</v>
          </cell>
          <cell r="AF1686">
            <v>14</v>
          </cell>
          <cell r="AK1686" t="str">
            <v>小田川</v>
          </cell>
          <cell r="AL1686" t="str">
            <v>小田</v>
          </cell>
          <cell r="AN1686">
            <v>6</v>
          </cell>
          <cell r="AO1686" t="str">
            <v>矢掛町</v>
          </cell>
          <cell r="AQ1686" t="str">
            <v/>
          </cell>
          <cell r="AR1686" t="str">
            <v>標準活性汚泥法</v>
          </cell>
          <cell r="AS1686" t="str">
            <v>3320701001</v>
          </cell>
          <cell r="AT1686" t="str">
            <v/>
          </cell>
          <cell r="AU1686" t="str">
            <v>10</v>
          </cell>
          <cell r="AV1686" t="str">
            <v>10</v>
          </cell>
          <cell r="AW1686">
            <v>0</v>
          </cell>
          <cell r="AX1686">
            <v>0</v>
          </cell>
          <cell r="AY1686">
            <v>0</v>
          </cell>
          <cell r="AZ1686">
            <v>0</v>
          </cell>
          <cell r="BA1686">
            <v>0</v>
          </cell>
          <cell r="BD1686" t="str">
            <v/>
          </cell>
          <cell r="BE1686">
            <v>1</v>
          </cell>
          <cell r="BG1686" t="str">
            <v>1100</v>
          </cell>
        </row>
        <row r="1687">
          <cell r="B1687" t="str">
            <v>G332080106100100</v>
          </cell>
          <cell r="C1687" t="str">
            <v>33.岡山県</v>
          </cell>
          <cell r="D1687" t="str">
            <v>208</v>
          </cell>
          <cell r="E1687" t="str">
            <v>総社市</v>
          </cell>
          <cell r="F1687" t="str">
            <v>01</v>
          </cell>
          <cell r="G1687" t="str">
            <v>公共 単独</v>
          </cell>
          <cell r="H1687" t="str">
            <v>公共下水道</v>
          </cell>
          <cell r="I1687" t="str">
            <v>単独</v>
          </cell>
          <cell r="J1687" t="str">
            <v>001</v>
          </cell>
          <cell r="K1687" t="str">
            <v>総社下水処理場</v>
          </cell>
          <cell r="M1687" t="str">
            <v>1</v>
          </cell>
          <cell r="N1687" t="str">
            <v>1</v>
          </cell>
          <cell r="Q1687">
            <v>30834</v>
          </cell>
          <cell r="R1687" t="str">
            <v>昭和</v>
          </cell>
          <cell r="S1687">
            <v>59</v>
          </cell>
          <cell r="T1687">
            <v>6</v>
          </cell>
          <cell r="AB1687">
            <v>33533</v>
          </cell>
          <cell r="AC1687" t="str">
            <v>高梁川</v>
          </cell>
          <cell r="AD1687" t="str">
            <v>Ｂ</v>
          </cell>
          <cell r="AE1687" t="str">
            <v>イ</v>
          </cell>
          <cell r="AF1687">
            <v>15</v>
          </cell>
          <cell r="AG1687">
            <v>20</v>
          </cell>
          <cell r="AH1687">
            <v>2</v>
          </cell>
          <cell r="AK1687" t="str">
            <v>高梁川</v>
          </cell>
          <cell r="AL1687" t="str">
            <v>備南水道</v>
          </cell>
          <cell r="AN1687">
            <v>3</v>
          </cell>
          <cell r="AO1687" t="str">
            <v>倉敷市</v>
          </cell>
          <cell r="AQ1687" t="str">
            <v/>
          </cell>
          <cell r="AR1687" t="str">
            <v>標準活性汚泥法</v>
          </cell>
          <cell r="AS1687" t="str">
            <v>3320801001</v>
          </cell>
          <cell r="AT1687" t="str">
            <v/>
          </cell>
          <cell r="AU1687" t="str">
            <v>10</v>
          </cell>
          <cell r="AV1687" t="str">
            <v>10</v>
          </cell>
          <cell r="AW1687">
            <v>0</v>
          </cell>
          <cell r="AX1687">
            <v>0</v>
          </cell>
          <cell r="AY1687">
            <v>0</v>
          </cell>
          <cell r="AZ1687">
            <v>0</v>
          </cell>
          <cell r="BA1687">
            <v>0</v>
          </cell>
          <cell r="BD1687" t="str">
            <v/>
          </cell>
          <cell r="BE1687">
            <v>1</v>
          </cell>
          <cell r="BG1687" t="str">
            <v>1100</v>
          </cell>
        </row>
        <row r="1688">
          <cell r="B1688" t="str">
            <v>G332080106100200</v>
          </cell>
          <cell r="C1688" t="str">
            <v>33.岡山県</v>
          </cell>
          <cell r="D1688" t="str">
            <v>208</v>
          </cell>
          <cell r="E1688" t="str">
            <v>総社市</v>
          </cell>
          <cell r="F1688" t="str">
            <v>01</v>
          </cell>
          <cell r="G1688" t="str">
            <v>公共 単独</v>
          </cell>
          <cell r="H1688" t="str">
            <v>公共下水道</v>
          </cell>
          <cell r="I1688" t="str">
            <v>単独</v>
          </cell>
          <cell r="J1688" t="str">
            <v>002</v>
          </cell>
          <cell r="K1688" t="str">
            <v>山手浄化センター</v>
          </cell>
          <cell r="M1688" t="str">
            <v>1</v>
          </cell>
          <cell r="N1688" t="str">
            <v>1</v>
          </cell>
          <cell r="P1688" t="str">
            <v>1</v>
          </cell>
          <cell r="Q1688">
            <v>31107</v>
          </cell>
          <cell r="R1688" t="str">
            <v>昭和</v>
          </cell>
          <cell r="S1688">
            <v>60</v>
          </cell>
          <cell r="T1688">
            <v>3</v>
          </cell>
          <cell r="AB1688">
            <v>12457</v>
          </cell>
          <cell r="AC1688" t="str">
            <v>児島湖</v>
          </cell>
          <cell r="AF1688">
            <v>20</v>
          </cell>
          <cell r="AG1688">
            <v>20</v>
          </cell>
          <cell r="AH1688">
            <v>2</v>
          </cell>
          <cell r="AI1688" t="str">
            <v>田上の池</v>
          </cell>
          <cell r="AQ1688" t="str">
            <v/>
          </cell>
          <cell r="AR1688" t="str">
            <v>オキシディションディッチ法</v>
          </cell>
          <cell r="AS1688" t="str">
            <v>3320801002</v>
          </cell>
          <cell r="AT1688" t="str">
            <v/>
          </cell>
          <cell r="AU1688" t="str">
            <v>10</v>
          </cell>
          <cell r="AV1688" t="str">
            <v>10</v>
          </cell>
          <cell r="AW1688">
            <v>1</v>
          </cell>
          <cell r="AX1688">
            <v>0</v>
          </cell>
          <cell r="AY1688">
            <v>0</v>
          </cell>
          <cell r="AZ1688">
            <v>0</v>
          </cell>
          <cell r="BA1688">
            <v>0</v>
          </cell>
          <cell r="BD1688" t="str">
            <v/>
          </cell>
          <cell r="BE1688">
            <v>1</v>
          </cell>
          <cell r="BG1688" t="str">
            <v>1101</v>
          </cell>
        </row>
        <row r="1689">
          <cell r="B1689" t="str">
            <v>G332080106100300</v>
          </cell>
          <cell r="C1689" t="str">
            <v>33.岡山県</v>
          </cell>
          <cell r="D1689" t="str">
            <v>208</v>
          </cell>
          <cell r="E1689" t="str">
            <v>総社市</v>
          </cell>
          <cell r="F1689" t="str">
            <v>01</v>
          </cell>
          <cell r="G1689" t="str">
            <v>公共 単独</v>
          </cell>
          <cell r="H1689" t="str">
            <v>公共下水道</v>
          </cell>
          <cell r="I1689" t="str">
            <v>単独</v>
          </cell>
          <cell r="J1689" t="str">
            <v>003</v>
          </cell>
          <cell r="K1689" t="str">
            <v>清音浄化センター</v>
          </cell>
          <cell r="M1689" t="str">
            <v>1</v>
          </cell>
          <cell r="N1689" t="str">
            <v>1</v>
          </cell>
          <cell r="Q1689">
            <v>35704</v>
          </cell>
          <cell r="R1689" t="str">
            <v>平成</v>
          </cell>
          <cell r="S1689">
            <v>9</v>
          </cell>
          <cell r="T1689">
            <v>10</v>
          </cell>
          <cell r="AB1689">
            <v>9100</v>
          </cell>
          <cell r="AC1689" t="str">
            <v>高梁川</v>
          </cell>
          <cell r="AD1689" t="str">
            <v>Ｂ</v>
          </cell>
          <cell r="AE1689" t="str">
            <v>イ</v>
          </cell>
          <cell r="AF1689">
            <v>15</v>
          </cell>
          <cell r="AK1689" t="str">
            <v>軽部川</v>
          </cell>
          <cell r="AL1689" t="str">
            <v>備南水道</v>
          </cell>
          <cell r="AN1689">
            <v>2.5</v>
          </cell>
          <cell r="AO1689" t="str">
            <v>倉敷市</v>
          </cell>
          <cell r="AQ1689" t="str">
            <v/>
          </cell>
          <cell r="AR1689" t="str">
            <v>オキシディションディッチ法</v>
          </cell>
          <cell r="AS1689" t="str">
            <v>3320801003</v>
          </cell>
          <cell r="AT1689" t="str">
            <v/>
          </cell>
          <cell r="AU1689" t="str">
            <v>10</v>
          </cell>
          <cell r="AV1689" t="str">
            <v>10</v>
          </cell>
          <cell r="AW1689">
            <v>0</v>
          </cell>
          <cell r="AX1689">
            <v>0</v>
          </cell>
          <cell r="AY1689">
            <v>0</v>
          </cell>
          <cell r="AZ1689">
            <v>0</v>
          </cell>
          <cell r="BA1689">
            <v>0</v>
          </cell>
          <cell r="BD1689" t="str">
            <v/>
          </cell>
          <cell r="BE1689">
            <v>1</v>
          </cell>
          <cell r="BG1689" t="str">
            <v>1100</v>
          </cell>
        </row>
        <row r="1690">
          <cell r="B1690" t="str">
            <v>G332080206100400</v>
          </cell>
          <cell r="C1690" t="str">
            <v>33.岡山県</v>
          </cell>
          <cell r="D1690" t="str">
            <v>208</v>
          </cell>
          <cell r="E1690" t="str">
            <v>総社市</v>
          </cell>
          <cell r="F1690" t="str">
            <v>02</v>
          </cell>
          <cell r="G1690" t="str">
            <v>特環 単独</v>
          </cell>
          <cell r="H1690" t="str">
            <v>特定環境保全公共下水道</v>
          </cell>
          <cell r="I1690" t="str">
            <v>単独</v>
          </cell>
          <cell r="J1690" t="str">
            <v>004</v>
          </cell>
          <cell r="K1690" t="str">
            <v>美袋浄化センター</v>
          </cell>
          <cell r="M1690" t="str">
            <v>1</v>
          </cell>
          <cell r="N1690" t="str">
            <v>1</v>
          </cell>
          <cell r="Q1690">
            <v>38169</v>
          </cell>
          <cell r="R1690" t="str">
            <v>平成</v>
          </cell>
          <cell r="S1690">
            <v>16</v>
          </cell>
          <cell r="T1690">
            <v>7</v>
          </cell>
          <cell r="AB1690">
            <v>3200</v>
          </cell>
          <cell r="AC1690" t="str">
            <v>高梁川</v>
          </cell>
          <cell r="AD1690" t="str">
            <v>Ａ</v>
          </cell>
          <cell r="AE1690" t="str">
            <v>イ</v>
          </cell>
          <cell r="AF1690">
            <v>15</v>
          </cell>
          <cell r="AG1690">
            <v>20</v>
          </cell>
          <cell r="AH1690">
            <v>2</v>
          </cell>
          <cell r="AK1690" t="str">
            <v>高梁川</v>
          </cell>
          <cell r="AL1690" t="str">
            <v>備南水道</v>
          </cell>
          <cell r="AN1690">
            <v>20</v>
          </cell>
          <cell r="AO1690" t="str">
            <v>倉敷市</v>
          </cell>
          <cell r="AQ1690" t="str">
            <v/>
          </cell>
          <cell r="AR1690" t="str">
            <v>オキシディションディッチ法</v>
          </cell>
          <cell r="AS1690" t="str">
            <v>3320802004</v>
          </cell>
          <cell r="AT1690" t="str">
            <v/>
          </cell>
          <cell r="AU1690" t="str">
            <v>10</v>
          </cell>
          <cell r="AV1690" t="str">
            <v>10</v>
          </cell>
          <cell r="AW1690">
            <v>0</v>
          </cell>
          <cell r="AX1690">
            <v>0</v>
          </cell>
          <cell r="AY1690">
            <v>0</v>
          </cell>
          <cell r="AZ1690">
            <v>0</v>
          </cell>
          <cell r="BA1690">
            <v>0</v>
          </cell>
          <cell r="BD1690" t="str">
            <v/>
          </cell>
          <cell r="BE1690">
            <v>1</v>
          </cell>
          <cell r="BG1690" t="str">
            <v>1100</v>
          </cell>
        </row>
        <row r="1691">
          <cell r="B1691" t="str">
            <v>G332090106100100</v>
          </cell>
          <cell r="C1691" t="str">
            <v>33.岡山県</v>
          </cell>
          <cell r="D1691" t="str">
            <v>209</v>
          </cell>
          <cell r="E1691" t="str">
            <v>高梁市</v>
          </cell>
          <cell r="F1691" t="str">
            <v>01</v>
          </cell>
          <cell r="G1691" t="str">
            <v>公共 単独</v>
          </cell>
          <cell r="H1691" t="str">
            <v>公共下水道</v>
          </cell>
          <cell r="I1691" t="str">
            <v>単独</v>
          </cell>
          <cell r="J1691" t="str">
            <v>001</v>
          </cell>
          <cell r="K1691" t="str">
            <v>高梁浄化センター</v>
          </cell>
          <cell r="M1691" t="str">
            <v>1</v>
          </cell>
          <cell r="N1691" t="str">
            <v>1</v>
          </cell>
          <cell r="Q1691">
            <v>32051</v>
          </cell>
          <cell r="R1691" t="str">
            <v>昭和</v>
          </cell>
          <cell r="S1691">
            <v>62</v>
          </cell>
          <cell r="T1691">
            <v>10</v>
          </cell>
          <cell r="AB1691">
            <v>25000</v>
          </cell>
          <cell r="AC1691" t="str">
            <v>高梁川中流（１）</v>
          </cell>
          <cell r="AD1691" t="str">
            <v>Ｂ</v>
          </cell>
          <cell r="AE1691" t="str">
            <v>イ</v>
          </cell>
          <cell r="AF1691">
            <v>10</v>
          </cell>
          <cell r="AG1691">
            <v>10</v>
          </cell>
          <cell r="AH1691">
            <v>0.8</v>
          </cell>
          <cell r="AI1691" t="str">
            <v>上谷川</v>
          </cell>
          <cell r="AK1691" t="str">
            <v>高梁川</v>
          </cell>
          <cell r="AL1691" t="str">
            <v>広域水道企業団</v>
          </cell>
          <cell r="AN1691">
            <v>20</v>
          </cell>
          <cell r="AO1691" t="str">
            <v>広域水道企業団</v>
          </cell>
          <cell r="AQ1691" t="str">
            <v/>
          </cell>
          <cell r="AR1691" t="str">
            <v>循環式硝化脱窒法</v>
          </cell>
          <cell r="AS1691" t="str">
            <v>3320901001</v>
          </cell>
          <cell r="AT1691" t="str">
            <v/>
          </cell>
          <cell r="AU1691" t="str">
            <v>10</v>
          </cell>
          <cell r="AV1691" t="str">
            <v>10</v>
          </cell>
          <cell r="AW1691">
            <v>0</v>
          </cell>
          <cell r="AX1691">
            <v>0</v>
          </cell>
          <cell r="AY1691">
            <v>0</v>
          </cell>
          <cell r="AZ1691">
            <v>0</v>
          </cell>
          <cell r="BA1691">
            <v>0</v>
          </cell>
          <cell r="BD1691" t="str">
            <v/>
          </cell>
          <cell r="BE1691">
            <v>1</v>
          </cell>
          <cell r="BG1691" t="str">
            <v>1100</v>
          </cell>
        </row>
        <row r="1692">
          <cell r="B1692" t="str">
            <v>G332100106100100</v>
          </cell>
          <cell r="C1692" t="str">
            <v>33.岡山県</v>
          </cell>
          <cell r="D1692" t="str">
            <v>210</v>
          </cell>
          <cell r="E1692" t="str">
            <v>新見市</v>
          </cell>
          <cell r="F1692" t="str">
            <v>01</v>
          </cell>
          <cell r="G1692" t="str">
            <v>公共 単独</v>
          </cell>
          <cell r="H1692" t="str">
            <v>公共下水道</v>
          </cell>
          <cell r="I1692" t="str">
            <v>単独</v>
          </cell>
          <cell r="J1692" t="str">
            <v>001</v>
          </cell>
          <cell r="K1692" t="str">
            <v>新見浄化センター</v>
          </cell>
          <cell r="M1692" t="str">
            <v>1</v>
          </cell>
          <cell r="N1692" t="str">
            <v>1</v>
          </cell>
          <cell r="P1692" t="str">
            <v>1</v>
          </cell>
          <cell r="Q1692">
            <v>36951</v>
          </cell>
          <cell r="R1692" t="str">
            <v>平成</v>
          </cell>
          <cell r="S1692">
            <v>13</v>
          </cell>
          <cell r="T1692">
            <v>3</v>
          </cell>
          <cell r="AB1692">
            <v>21000</v>
          </cell>
          <cell r="AC1692" t="str">
            <v>高梁川</v>
          </cell>
          <cell r="AD1692" t="str">
            <v>Ｂ</v>
          </cell>
          <cell r="AE1692" t="str">
            <v>イ</v>
          </cell>
          <cell r="AF1692">
            <v>15</v>
          </cell>
          <cell r="AG1692">
            <v>10</v>
          </cell>
          <cell r="AH1692">
            <v>2</v>
          </cell>
          <cell r="AK1692" t="str">
            <v>高梁川</v>
          </cell>
          <cell r="AL1692" t="str">
            <v>西阿知浄水場</v>
          </cell>
          <cell r="AN1692">
            <v>47.3</v>
          </cell>
          <cell r="AO1692" t="str">
            <v>倉敷市、玉野市</v>
          </cell>
          <cell r="AQ1692" t="str">
            <v/>
          </cell>
          <cell r="AR1692" t="str">
            <v>オキシディションディッチ法</v>
          </cell>
          <cell r="AS1692" t="str">
            <v>3321001001</v>
          </cell>
          <cell r="AT1692" t="str">
            <v/>
          </cell>
          <cell r="AU1692" t="str">
            <v>10</v>
          </cell>
          <cell r="AV1692" t="str">
            <v>10</v>
          </cell>
          <cell r="AW1692">
            <v>1</v>
          </cell>
          <cell r="AX1692">
            <v>0</v>
          </cell>
          <cell r="AY1692">
            <v>0</v>
          </cell>
          <cell r="AZ1692">
            <v>0</v>
          </cell>
          <cell r="BA1692">
            <v>0</v>
          </cell>
          <cell r="BD1692" t="str">
            <v/>
          </cell>
          <cell r="BE1692">
            <v>1</v>
          </cell>
          <cell r="BG1692" t="str">
            <v>1101</v>
          </cell>
        </row>
        <row r="1693">
          <cell r="B1693" t="str">
            <v>G332100206100200</v>
          </cell>
          <cell r="C1693" t="str">
            <v>33.岡山県</v>
          </cell>
          <cell r="D1693" t="str">
            <v>210</v>
          </cell>
          <cell r="E1693" t="str">
            <v>新見市</v>
          </cell>
          <cell r="F1693" t="str">
            <v>02</v>
          </cell>
          <cell r="G1693" t="str">
            <v>特環 単独</v>
          </cell>
          <cell r="H1693" t="str">
            <v>特定環境保全公共下水道</v>
          </cell>
          <cell r="I1693" t="str">
            <v>単独</v>
          </cell>
          <cell r="J1693" t="str">
            <v>002</v>
          </cell>
          <cell r="K1693" t="str">
            <v>大佐浄化センター</v>
          </cell>
          <cell r="M1693" t="str">
            <v>1</v>
          </cell>
          <cell r="N1693" t="str">
            <v>1</v>
          </cell>
          <cell r="Q1693">
            <v>37226</v>
          </cell>
          <cell r="R1693" t="str">
            <v>平成</v>
          </cell>
          <cell r="S1693">
            <v>13</v>
          </cell>
          <cell r="T1693">
            <v>12</v>
          </cell>
          <cell r="AB1693">
            <v>6500</v>
          </cell>
          <cell r="AC1693" t="str">
            <v>小阪部川</v>
          </cell>
          <cell r="AD1693" t="str">
            <v>Ａ</v>
          </cell>
          <cell r="AE1693" t="str">
            <v>イ</v>
          </cell>
          <cell r="AF1693">
            <v>15</v>
          </cell>
          <cell r="AG1693">
            <v>10</v>
          </cell>
          <cell r="AH1693">
            <v>2</v>
          </cell>
          <cell r="AI1693" t="str">
            <v>川面川</v>
          </cell>
          <cell r="AK1693" t="str">
            <v>高梁川</v>
          </cell>
          <cell r="AQ1693" t="str">
            <v/>
          </cell>
          <cell r="AR1693" t="str">
            <v>オキシディションディッチ法</v>
          </cell>
          <cell r="AS1693" t="str">
            <v>3321002002</v>
          </cell>
          <cell r="AT1693" t="str">
            <v/>
          </cell>
          <cell r="AU1693" t="str">
            <v>10</v>
          </cell>
          <cell r="AV1693" t="str">
            <v>10</v>
          </cell>
          <cell r="AW1693">
            <v>0</v>
          </cell>
          <cell r="AX1693">
            <v>0</v>
          </cell>
          <cell r="AY1693">
            <v>0</v>
          </cell>
          <cell r="AZ1693">
            <v>0</v>
          </cell>
          <cell r="BA1693">
            <v>0</v>
          </cell>
          <cell r="BD1693" t="str">
            <v/>
          </cell>
          <cell r="BE1693">
            <v>1</v>
          </cell>
          <cell r="BG1693" t="str">
            <v>1100</v>
          </cell>
        </row>
        <row r="1694">
          <cell r="B1694" t="str">
            <v>G332100206100300</v>
          </cell>
          <cell r="C1694" t="str">
            <v>33.岡山県</v>
          </cell>
          <cell r="D1694" t="str">
            <v>210</v>
          </cell>
          <cell r="E1694" t="str">
            <v>新見市</v>
          </cell>
          <cell r="F1694" t="str">
            <v>02</v>
          </cell>
          <cell r="G1694" t="str">
            <v>特環 単独</v>
          </cell>
          <cell r="H1694" t="str">
            <v>特定環境保全公共下水道</v>
          </cell>
          <cell r="I1694" t="str">
            <v>単独</v>
          </cell>
          <cell r="J1694" t="str">
            <v>003</v>
          </cell>
          <cell r="K1694" t="str">
            <v>本郷浄化センター</v>
          </cell>
          <cell r="M1694" t="str">
            <v>1</v>
          </cell>
          <cell r="N1694" t="str">
            <v>1</v>
          </cell>
          <cell r="Q1694">
            <v>35490</v>
          </cell>
          <cell r="R1694" t="str">
            <v>平成</v>
          </cell>
          <cell r="S1694">
            <v>9</v>
          </cell>
          <cell r="T1694">
            <v>3</v>
          </cell>
          <cell r="AB1694">
            <v>3697</v>
          </cell>
          <cell r="AC1694" t="str">
            <v>高梁川</v>
          </cell>
          <cell r="AD1694" t="str">
            <v>Ｂ</v>
          </cell>
          <cell r="AE1694" t="str">
            <v>イ</v>
          </cell>
          <cell r="AF1694">
            <v>15</v>
          </cell>
          <cell r="AG1694">
            <v>10</v>
          </cell>
          <cell r="AH1694">
            <v>2</v>
          </cell>
          <cell r="AI1694" t="str">
            <v>本郷川</v>
          </cell>
          <cell r="AK1694" t="str">
            <v>高梁川</v>
          </cell>
          <cell r="AQ1694" t="str">
            <v/>
          </cell>
          <cell r="AR1694" t="str">
            <v>オキシディションディッチ法</v>
          </cell>
          <cell r="AS1694" t="str">
            <v>3321002003</v>
          </cell>
          <cell r="AT1694" t="str">
            <v/>
          </cell>
          <cell r="AU1694" t="str">
            <v>10</v>
          </cell>
          <cell r="AV1694" t="str">
            <v>10</v>
          </cell>
          <cell r="AW1694">
            <v>0</v>
          </cell>
          <cell r="AX1694">
            <v>0</v>
          </cell>
          <cell r="AY1694">
            <v>0</v>
          </cell>
          <cell r="AZ1694">
            <v>0</v>
          </cell>
          <cell r="BA1694">
            <v>0</v>
          </cell>
          <cell r="BD1694" t="str">
            <v/>
          </cell>
          <cell r="BE1694">
            <v>1</v>
          </cell>
          <cell r="BG1694" t="str">
            <v>1100</v>
          </cell>
        </row>
        <row r="1695">
          <cell r="B1695" t="str">
            <v>G332100206100400</v>
          </cell>
          <cell r="C1695" t="str">
            <v>33.岡山県</v>
          </cell>
          <cell r="D1695" t="str">
            <v>210</v>
          </cell>
          <cell r="E1695" t="str">
            <v>新見市</v>
          </cell>
          <cell r="F1695" t="str">
            <v>02</v>
          </cell>
          <cell r="G1695" t="str">
            <v>特環 単独</v>
          </cell>
          <cell r="H1695" t="str">
            <v>特定環境保全公共下水道</v>
          </cell>
          <cell r="I1695" t="str">
            <v>単独</v>
          </cell>
          <cell r="J1695" t="str">
            <v>004</v>
          </cell>
          <cell r="K1695" t="str">
            <v>哲西浄化センター</v>
          </cell>
          <cell r="M1695" t="str">
            <v>1</v>
          </cell>
          <cell r="N1695" t="str">
            <v>1</v>
          </cell>
          <cell r="Q1695">
            <v>35855</v>
          </cell>
          <cell r="R1695" t="str">
            <v>平成</v>
          </cell>
          <cell r="S1695">
            <v>10</v>
          </cell>
          <cell r="T1695">
            <v>3</v>
          </cell>
          <cell r="AB1695">
            <v>4300</v>
          </cell>
          <cell r="AC1695" t="str">
            <v>神代川</v>
          </cell>
          <cell r="AD1695" t="str">
            <v>Ａ</v>
          </cell>
          <cell r="AE1695" t="str">
            <v>イ</v>
          </cell>
          <cell r="AF1695">
            <v>15</v>
          </cell>
          <cell r="AG1695">
            <v>10</v>
          </cell>
          <cell r="AH1695">
            <v>2</v>
          </cell>
          <cell r="AI1695" t="str">
            <v>神代川</v>
          </cell>
          <cell r="AK1695" t="str">
            <v>高梁川</v>
          </cell>
          <cell r="AQ1695" t="str">
            <v/>
          </cell>
          <cell r="AR1695" t="str">
            <v>オキシディションディッチ法</v>
          </cell>
          <cell r="AS1695" t="str">
            <v>3321002004</v>
          </cell>
          <cell r="AT1695" t="str">
            <v/>
          </cell>
          <cell r="AU1695" t="str">
            <v>10</v>
          </cell>
          <cell r="AV1695" t="str">
            <v>10</v>
          </cell>
          <cell r="AW1695">
            <v>0</v>
          </cell>
          <cell r="AX1695">
            <v>0</v>
          </cell>
          <cell r="AY1695">
            <v>0</v>
          </cell>
          <cell r="AZ1695">
            <v>0</v>
          </cell>
          <cell r="BA1695">
            <v>0</v>
          </cell>
          <cell r="BD1695" t="str">
            <v/>
          </cell>
          <cell r="BE1695">
            <v>1</v>
          </cell>
          <cell r="BG1695" t="str">
            <v>1100</v>
          </cell>
        </row>
        <row r="1696">
          <cell r="B1696" t="str">
            <v>G332110106100100</v>
          </cell>
          <cell r="C1696" t="str">
            <v>33.岡山県</v>
          </cell>
          <cell r="D1696" t="str">
            <v>211</v>
          </cell>
          <cell r="E1696" t="str">
            <v>備前市</v>
          </cell>
          <cell r="F1696" t="str">
            <v>01</v>
          </cell>
          <cell r="G1696" t="str">
            <v>公共 単独</v>
          </cell>
          <cell r="H1696" t="str">
            <v>公共下水道</v>
          </cell>
          <cell r="I1696" t="str">
            <v>単独</v>
          </cell>
          <cell r="J1696" t="str">
            <v>001</v>
          </cell>
          <cell r="K1696" t="str">
            <v>備前浄化センター</v>
          </cell>
          <cell r="M1696" t="str">
            <v>1</v>
          </cell>
          <cell r="N1696" t="str">
            <v>1</v>
          </cell>
          <cell r="Q1696">
            <v>31837</v>
          </cell>
          <cell r="R1696" t="str">
            <v>昭和</v>
          </cell>
          <cell r="S1696">
            <v>62</v>
          </cell>
          <cell r="T1696">
            <v>3</v>
          </cell>
          <cell r="AB1696">
            <v>36000</v>
          </cell>
          <cell r="AC1696" t="str">
            <v>播磨灘北西部</v>
          </cell>
          <cell r="AD1696" t="str">
            <v>Ａ</v>
          </cell>
          <cell r="AE1696" t="str">
            <v>ロ</v>
          </cell>
          <cell r="AF1696">
            <v>15</v>
          </cell>
          <cell r="AG1696">
            <v>20</v>
          </cell>
          <cell r="AH1696">
            <v>2</v>
          </cell>
          <cell r="AI1696" t="str">
            <v>播磨海域</v>
          </cell>
          <cell r="AQ1696" t="str">
            <v/>
          </cell>
          <cell r="AR1696" t="str">
            <v>標準活性汚泥法</v>
          </cell>
          <cell r="AS1696" t="str">
            <v>3321101001</v>
          </cell>
          <cell r="AT1696" t="str">
            <v/>
          </cell>
          <cell r="AU1696" t="str">
            <v>10</v>
          </cell>
          <cell r="AV1696" t="str">
            <v>10</v>
          </cell>
          <cell r="AW1696">
            <v>0</v>
          </cell>
          <cell r="AX1696">
            <v>0</v>
          </cell>
          <cell r="AY1696">
            <v>0</v>
          </cell>
          <cell r="AZ1696">
            <v>0</v>
          </cell>
          <cell r="BA1696">
            <v>0</v>
          </cell>
          <cell r="BD1696" t="str">
            <v/>
          </cell>
          <cell r="BE1696">
            <v>1</v>
          </cell>
          <cell r="BG1696" t="str">
            <v>1100</v>
          </cell>
        </row>
        <row r="1697">
          <cell r="B1697" t="str">
            <v>G332110106100200</v>
          </cell>
          <cell r="C1697" t="str">
            <v>33.岡山県</v>
          </cell>
          <cell r="D1697" t="str">
            <v>211</v>
          </cell>
          <cell r="E1697" t="str">
            <v>備前市</v>
          </cell>
          <cell r="F1697" t="str">
            <v>01</v>
          </cell>
          <cell r="G1697" t="str">
            <v>公共 単独</v>
          </cell>
          <cell r="H1697" t="str">
            <v>公共下水道</v>
          </cell>
          <cell r="I1697" t="str">
            <v>単独</v>
          </cell>
          <cell r="J1697" t="str">
            <v>002</v>
          </cell>
          <cell r="K1697" t="str">
            <v>日生浄化センター</v>
          </cell>
          <cell r="M1697" t="str">
            <v>1</v>
          </cell>
          <cell r="N1697" t="str">
            <v>1</v>
          </cell>
          <cell r="P1697" t="str">
            <v>1</v>
          </cell>
          <cell r="Q1697">
            <v>34029</v>
          </cell>
          <cell r="R1697" t="str">
            <v>平成</v>
          </cell>
          <cell r="S1697">
            <v>5</v>
          </cell>
          <cell r="T1697">
            <v>3</v>
          </cell>
          <cell r="AB1697">
            <v>15764</v>
          </cell>
          <cell r="AC1697" t="str">
            <v>播磨灘北西部</v>
          </cell>
          <cell r="AD1697" t="str">
            <v>Ａ</v>
          </cell>
          <cell r="AE1697" t="str">
            <v>ロ</v>
          </cell>
          <cell r="AF1697">
            <v>15</v>
          </cell>
          <cell r="AI1697" t="str">
            <v>播磨海域</v>
          </cell>
          <cell r="AQ1697" t="str">
            <v/>
          </cell>
          <cell r="AR1697" t="str">
            <v>オキシディションディッチ法</v>
          </cell>
          <cell r="AS1697" t="str">
            <v>3321101002</v>
          </cell>
          <cell r="AT1697" t="str">
            <v/>
          </cell>
          <cell r="AU1697" t="str">
            <v>10</v>
          </cell>
          <cell r="AV1697" t="str">
            <v>10</v>
          </cell>
          <cell r="AW1697">
            <v>1</v>
          </cell>
          <cell r="AX1697">
            <v>0</v>
          </cell>
          <cell r="AY1697">
            <v>0</v>
          </cell>
          <cell r="AZ1697">
            <v>0</v>
          </cell>
          <cell r="BA1697">
            <v>0</v>
          </cell>
          <cell r="BD1697" t="str">
            <v/>
          </cell>
          <cell r="BE1697">
            <v>1</v>
          </cell>
          <cell r="BG1697" t="str">
            <v>1101</v>
          </cell>
        </row>
        <row r="1698">
          <cell r="B1698" t="str">
            <v>G332110106100300</v>
          </cell>
          <cell r="C1698" t="str">
            <v>33.岡山県</v>
          </cell>
          <cell r="D1698" t="str">
            <v>211</v>
          </cell>
          <cell r="E1698" t="str">
            <v>備前市</v>
          </cell>
          <cell r="F1698" t="str">
            <v>01</v>
          </cell>
          <cell r="G1698" t="str">
            <v>公共 単独</v>
          </cell>
          <cell r="H1698" t="str">
            <v>公共下水道</v>
          </cell>
          <cell r="I1698" t="str">
            <v>単独</v>
          </cell>
          <cell r="J1698" t="str">
            <v>003</v>
          </cell>
          <cell r="K1698" t="str">
            <v>三石浄化センター</v>
          </cell>
          <cell r="M1698" t="str">
            <v>1</v>
          </cell>
          <cell r="N1698" t="str">
            <v>1</v>
          </cell>
          <cell r="Q1698">
            <v>37316</v>
          </cell>
          <cell r="R1698" t="str">
            <v>平成</v>
          </cell>
          <cell r="S1698">
            <v>14</v>
          </cell>
          <cell r="T1698">
            <v>3</v>
          </cell>
          <cell r="AB1698">
            <v>10000</v>
          </cell>
          <cell r="AC1698" t="str">
            <v>吉井川水域金剛川河川</v>
          </cell>
          <cell r="AD1698" t="str">
            <v>Ａ</v>
          </cell>
          <cell r="AE1698" t="str">
            <v>ロ</v>
          </cell>
          <cell r="AF1698">
            <v>15</v>
          </cell>
          <cell r="AG1698">
            <v>20</v>
          </cell>
          <cell r="AH1698">
            <v>2</v>
          </cell>
          <cell r="AI1698" t="str">
            <v>金剛川</v>
          </cell>
          <cell r="AK1698" t="str">
            <v>吉井川</v>
          </cell>
          <cell r="AQ1698" t="str">
            <v/>
          </cell>
          <cell r="AR1698" t="str">
            <v>オキシディションディッチ法</v>
          </cell>
          <cell r="AS1698" t="str">
            <v>3321101003</v>
          </cell>
          <cell r="AT1698" t="str">
            <v/>
          </cell>
          <cell r="AU1698" t="str">
            <v>10</v>
          </cell>
          <cell r="AV1698" t="str">
            <v>10</v>
          </cell>
          <cell r="AW1698">
            <v>0</v>
          </cell>
          <cell r="AX1698">
            <v>0</v>
          </cell>
          <cell r="AY1698">
            <v>0</v>
          </cell>
          <cell r="AZ1698">
            <v>0</v>
          </cell>
          <cell r="BA1698">
            <v>0</v>
          </cell>
          <cell r="BD1698" t="str">
            <v/>
          </cell>
          <cell r="BE1698">
            <v>1</v>
          </cell>
          <cell r="BG1698" t="str">
            <v>1100</v>
          </cell>
        </row>
        <row r="1699">
          <cell r="B1699" t="str">
            <v>G332110206100400</v>
          </cell>
          <cell r="C1699" t="str">
            <v>33.岡山県</v>
          </cell>
          <cell r="D1699" t="str">
            <v>211</v>
          </cell>
          <cell r="E1699" t="str">
            <v>備前市</v>
          </cell>
          <cell r="F1699" t="str">
            <v>02</v>
          </cell>
          <cell r="G1699" t="str">
            <v>特環 単独</v>
          </cell>
          <cell r="H1699" t="str">
            <v>特定環境保全公共下水道</v>
          </cell>
          <cell r="I1699" t="str">
            <v>単独</v>
          </cell>
          <cell r="J1699" t="str">
            <v>004</v>
          </cell>
          <cell r="K1699" t="str">
            <v>吉永浄化センター</v>
          </cell>
          <cell r="M1699" t="str">
            <v>1</v>
          </cell>
          <cell r="N1699" t="str">
            <v>1</v>
          </cell>
          <cell r="P1699" t="str">
            <v>1</v>
          </cell>
          <cell r="Q1699">
            <v>35125</v>
          </cell>
          <cell r="R1699" t="str">
            <v>平成</v>
          </cell>
          <cell r="S1699">
            <v>8</v>
          </cell>
          <cell r="T1699">
            <v>3</v>
          </cell>
          <cell r="AB1699">
            <v>3197</v>
          </cell>
          <cell r="AC1699" t="str">
            <v>吉井川水域金剛川河川</v>
          </cell>
          <cell r="AD1699" t="str">
            <v>Ａ</v>
          </cell>
          <cell r="AE1699" t="str">
            <v>ロ</v>
          </cell>
          <cell r="AF1699">
            <v>10</v>
          </cell>
          <cell r="AG1699">
            <v>20</v>
          </cell>
          <cell r="AH1699">
            <v>2</v>
          </cell>
          <cell r="AI1699" t="str">
            <v>金剛川</v>
          </cell>
          <cell r="AK1699" t="str">
            <v>吉井川</v>
          </cell>
          <cell r="AQ1699" t="str">
            <v/>
          </cell>
          <cell r="AR1699" t="str">
            <v>嫌気好気活性汚泥法</v>
          </cell>
          <cell r="AS1699" t="str">
            <v>3321102004</v>
          </cell>
          <cell r="AT1699" t="str">
            <v/>
          </cell>
          <cell r="AU1699" t="str">
            <v>10</v>
          </cell>
          <cell r="AV1699" t="str">
            <v>10</v>
          </cell>
          <cell r="AW1699">
            <v>1</v>
          </cell>
          <cell r="AX1699">
            <v>0</v>
          </cell>
          <cell r="AY1699">
            <v>0</v>
          </cell>
          <cell r="AZ1699">
            <v>0</v>
          </cell>
          <cell r="BA1699">
            <v>0</v>
          </cell>
          <cell r="BD1699" t="str">
            <v/>
          </cell>
          <cell r="BE1699">
            <v>1</v>
          </cell>
          <cell r="BG1699" t="str">
            <v>1101</v>
          </cell>
        </row>
        <row r="1700">
          <cell r="B1700" t="str">
            <v>G332120206100100</v>
          </cell>
          <cell r="C1700" t="str">
            <v>33.岡山県</v>
          </cell>
          <cell r="D1700" t="str">
            <v>212</v>
          </cell>
          <cell r="E1700" t="str">
            <v>瀬戸内市</v>
          </cell>
          <cell r="F1700" t="str">
            <v>02</v>
          </cell>
          <cell r="G1700" t="str">
            <v>特環 単独</v>
          </cell>
          <cell r="H1700" t="str">
            <v>特定環境保全公共下水道</v>
          </cell>
          <cell r="I1700" t="str">
            <v>単独</v>
          </cell>
          <cell r="J1700" t="str">
            <v>001</v>
          </cell>
          <cell r="K1700" t="str">
            <v>長船浄化センター</v>
          </cell>
          <cell r="M1700" t="str">
            <v>1</v>
          </cell>
          <cell r="N1700" t="str">
            <v>1</v>
          </cell>
          <cell r="Q1700">
            <v>33298</v>
          </cell>
          <cell r="R1700" t="str">
            <v>平成</v>
          </cell>
          <cell r="S1700">
            <v>3</v>
          </cell>
          <cell r="T1700">
            <v>3</v>
          </cell>
          <cell r="AB1700">
            <v>3000</v>
          </cell>
          <cell r="AC1700" t="str">
            <v>設定なし</v>
          </cell>
          <cell r="AF1700">
            <v>15</v>
          </cell>
          <cell r="AG1700">
            <v>20</v>
          </cell>
          <cell r="AH1700">
            <v>2</v>
          </cell>
          <cell r="AI1700" t="str">
            <v>流川</v>
          </cell>
          <cell r="AK1700" t="str">
            <v>吉井川</v>
          </cell>
          <cell r="AQ1700" t="str">
            <v/>
          </cell>
          <cell r="AR1700" t="str">
            <v>オキシディションディッチ法</v>
          </cell>
          <cell r="AS1700" t="str">
            <v>3321202001</v>
          </cell>
          <cell r="AT1700" t="str">
            <v/>
          </cell>
          <cell r="AU1700" t="str">
            <v>10</v>
          </cell>
          <cell r="AV1700" t="str">
            <v>10</v>
          </cell>
          <cell r="AW1700">
            <v>0</v>
          </cell>
          <cell r="AX1700">
            <v>0</v>
          </cell>
          <cell r="AY1700">
            <v>0</v>
          </cell>
          <cell r="AZ1700">
            <v>0</v>
          </cell>
          <cell r="BA1700">
            <v>0</v>
          </cell>
          <cell r="BD1700" t="str">
            <v/>
          </cell>
          <cell r="BE1700">
            <v>1</v>
          </cell>
          <cell r="BG1700" t="str">
            <v>1100</v>
          </cell>
        </row>
        <row r="1701">
          <cell r="B1701" t="str">
            <v>G332120206100200</v>
          </cell>
          <cell r="C1701" t="str">
            <v>33.岡山県</v>
          </cell>
          <cell r="D1701" t="str">
            <v>212</v>
          </cell>
          <cell r="E1701" t="str">
            <v>瀬戸内市</v>
          </cell>
          <cell r="F1701" t="str">
            <v>02</v>
          </cell>
          <cell r="G1701" t="str">
            <v>特環 単独</v>
          </cell>
          <cell r="H1701" t="str">
            <v>特定環境保全公共下水道</v>
          </cell>
          <cell r="I1701" t="str">
            <v>単独</v>
          </cell>
          <cell r="J1701" t="str">
            <v>002</v>
          </cell>
          <cell r="K1701" t="str">
            <v>牛窓浄化センター</v>
          </cell>
          <cell r="M1701" t="str">
            <v>1</v>
          </cell>
          <cell r="N1701" t="str">
            <v>1</v>
          </cell>
          <cell r="Q1701">
            <v>39539</v>
          </cell>
          <cell r="R1701" t="str">
            <v>平成</v>
          </cell>
          <cell r="S1701">
            <v>20</v>
          </cell>
          <cell r="T1701">
            <v>4</v>
          </cell>
          <cell r="AB1701">
            <v>11500</v>
          </cell>
          <cell r="AC1701" t="str">
            <v>牛窓地先海域</v>
          </cell>
          <cell r="AD1701" t="str">
            <v>Ａ</v>
          </cell>
          <cell r="AE1701" t="str">
            <v>イ</v>
          </cell>
          <cell r="AF1701">
            <v>15</v>
          </cell>
          <cell r="AG1701">
            <v>10</v>
          </cell>
          <cell r="AH1701">
            <v>1</v>
          </cell>
          <cell r="AI1701" t="str">
            <v>牛窓港</v>
          </cell>
          <cell r="AQ1701" t="str">
            <v/>
          </cell>
          <cell r="AR1701" t="str">
            <v>高度処理オキシディションディッチ法</v>
          </cell>
          <cell r="AS1701" t="str">
            <v>3321202002</v>
          </cell>
          <cell r="AT1701" t="str">
            <v/>
          </cell>
          <cell r="AU1701" t="str">
            <v>10</v>
          </cell>
          <cell r="AV1701" t="str">
            <v>10</v>
          </cell>
          <cell r="AW1701">
            <v>0</v>
          </cell>
          <cell r="AX1701">
            <v>0</v>
          </cell>
          <cell r="AY1701">
            <v>0</v>
          </cell>
          <cell r="AZ1701">
            <v>0</v>
          </cell>
          <cell r="BA1701">
            <v>0</v>
          </cell>
          <cell r="BD1701" t="str">
            <v/>
          </cell>
          <cell r="BE1701">
            <v>1</v>
          </cell>
          <cell r="BG1701" t="str">
            <v>1100</v>
          </cell>
        </row>
        <row r="1702">
          <cell r="B1702" t="str">
            <v>G332120206100300</v>
          </cell>
          <cell r="C1702" t="str">
            <v>33.岡山県</v>
          </cell>
          <cell r="D1702" t="str">
            <v>212</v>
          </cell>
          <cell r="E1702" t="str">
            <v>瀬戸内市</v>
          </cell>
          <cell r="F1702" t="str">
            <v>02</v>
          </cell>
          <cell r="G1702" t="str">
            <v>特環 単独</v>
          </cell>
          <cell r="H1702" t="str">
            <v>特定環境保全公共下水道</v>
          </cell>
          <cell r="I1702" t="str">
            <v>単独</v>
          </cell>
          <cell r="J1702" t="str">
            <v>003</v>
          </cell>
          <cell r="K1702" t="str">
            <v>邑久浄化センター</v>
          </cell>
          <cell r="M1702" t="str">
            <v>1</v>
          </cell>
          <cell r="N1702" t="str">
            <v>1</v>
          </cell>
          <cell r="Q1702">
            <v>39904</v>
          </cell>
          <cell r="R1702" t="str">
            <v>平成</v>
          </cell>
          <cell r="S1702">
            <v>21</v>
          </cell>
          <cell r="T1702">
            <v>4</v>
          </cell>
          <cell r="AB1702">
            <v>34900</v>
          </cell>
          <cell r="AC1702" t="str">
            <v>吉井川</v>
          </cell>
          <cell r="AD1702" t="str">
            <v>Ｂ</v>
          </cell>
          <cell r="AE1702" t="str">
            <v>ロ</v>
          </cell>
          <cell r="AF1702">
            <v>10</v>
          </cell>
          <cell r="AG1702">
            <v>10</v>
          </cell>
          <cell r="AH1702">
            <v>1</v>
          </cell>
          <cell r="AI1702" t="str">
            <v>千町川</v>
          </cell>
          <cell r="AK1702" t="str">
            <v>吉井川</v>
          </cell>
          <cell r="AQ1702" t="str">
            <v/>
          </cell>
          <cell r="AR1702" t="str">
            <v>高度処理オキシディションディッチ法</v>
          </cell>
          <cell r="AS1702" t="str">
            <v>3321202003</v>
          </cell>
          <cell r="AT1702" t="str">
            <v/>
          </cell>
          <cell r="AU1702" t="str">
            <v>10</v>
          </cell>
          <cell r="AV1702" t="str">
            <v>10</v>
          </cell>
          <cell r="AW1702">
            <v>0</v>
          </cell>
          <cell r="AX1702">
            <v>0</v>
          </cell>
          <cell r="AY1702">
            <v>0</v>
          </cell>
          <cell r="AZ1702">
            <v>0</v>
          </cell>
          <cell r="BA1702">
            <v>0</v>
          </cell>
          <cell r="BD1702" t="str">
            <v/>
          </cell>
          <cell r="BE1702">
            <v>1</v>
          </cell>
          <cell r="BG1702" t="str">
            <v>1100</v>
          </cell>
        </row>
        <row r="1703">
          <cell r="B1703" t="str">
            <v>G332120206100400</v>
          </cell>
          <cell r="C1703" t="str">
            <v>33.岡山県</v>
          </cell>
          <cell r="D1703" t="str">
            <v>212</v>
          </cell>
          <cell r="E1703" t="str">
            <v>瀬戸内市</v>
          </cell>
          <cell r="F1703" t="str">
            <v>02</v>
          </cell>
          <cell r="G1703" t="str">
            <v>特環 単独</v>
          </cell>
          <cell r="H1703" t="str">
            <v>特定環境保全公共下水道</v>
          </cell>
          <cell r="I1703" t="str">
            <v>単独</v>
          </cell>
          <cell r="J1703" t="str">
            <v>004</v>
          </cell>
          <cell r="K1703" t="str">
            <v>長船中央浄化センター</v>
          </cell>
          <cell r="M1703" t="str">
            <v>1</v>
          </cell>
          <cell r="N1703" t="str">
            <v>1</v>
          </cell>
          <cell r="Q1703">
            <v>40238</v>
          </cell>
          <cell r="R1703" t="str">
            <v>平成</v>
          </cell>
          <cell r="S1703">
            <v>22</v>
          </cell>
          <cell r="T1703">
            <v>3</v>
          </cell>
          <cell r="AB1703">
            <v>22100</v>
          </cell>
          <cell r="AC1703" t="str">
            <v>吉井川</v>
          </cell>
          <cell r="AD1703" t="str">
            <v>Ｂ</v>
          </cell>
          <cell r="AE1703" t="str">
            <v>ロ</v>
          </cell>
          <cell r="AF1703">
            <v>10</v>
          </cell>
          <cell r="AG1703">
            <v>10</v>
          </cell>
          <cell r="AH1703">
            <v>1</v>
          </cell>
          <cell r="AI1703" t="str">
            <v>香登川</v>
          </cell>
          <cell r="AK1703" t="str">
            <v>吉井川</v>
          </cell>
          <cell r="AQ1703" t="str">
            <v/>
          </cell>
          <cell r="AR1703" t="str">
            <v>高度処理オキシディションディッチ法</v>
          </cell>
          <cell r="AS1703" t="str">
            <v>3321202004</v>
          </cell>
          <cell r="AT1703" t="str">
            <v/>
          </cell>
          <cell r="AU1703" t="str">
            <v>10</v>
          </cell>
          <cell r="AV1703" t="str">
            <v>10</v>
          </cell>
          <cell r="AW1703">
            <v>0</v>
          </cell>
          <cell r="AX1703">
            <v>0</v>
          </cell>
          <cell r="AY1703">
            <v>0</v>
          </cell>
          <cell r="AZ1703">
            <v>0</v>
          </cell>
          <cell r="BA1703">
            <v>0</v>
          </cell>
          <cell r="BD1703" t="str">
            <v/>
          </cell>
          <cell r="BE1703">
            <v>1</v>
          </cell>
          <cell r="BG1703" t="str">
            <v>1100</v>
          </cell>
        </row>
        <row r="1704">
          <cell r="B1704" t="str">
            <v>G332130106100100</v>
          </cell>
          <cell r="C1704" t="str">
            <v>33.岡山県</v>
          </cell>
          <cell r="D1704" t="str">
            <v>213</v>
          </cell>
          <cell r="E1704" t="str">
            <v>赤磐市</v>
          </cell>
          <cell r="F1704" t="str">
            <v>01</v>
          </cell>
          <cell r="G1704" t="str">
            <v>公共 単独</v>
          </cell>
          <cell r="H1704" t="str">
            <v>公共下水道</v>
          </cell>
          <cell r="I1704" t="str">
            <v>単独</v>
          </cell>
          <cell r="J1704" t="str">
            <v>001</v>
          </cell>
          <cell r="K1704" t="str">
            <v>山陽浄化センター</v>
          </cell>
          <cell r="M1704" t="str">
            <v>1</v>
          </cell>
          <cell r="N1704" t="str">
            <v>1</v>
          </cell>
          <cell r="Q1704">
            <v>38991</v>
          </cell>
          <cell r="R1704" t="str">
            <v>平成</v>
          </cell>
          <cell r="S1704">
            <v>18</v>
          </cell>
          <cell r="T1704">
            <v>10</v>
          </cell>
          <cell r="AB1704">
            <v>54900</v>
          </cell>
          <cell r="AC1704" t="str">
            <v>砂川流域</v>
          </cell>
          <cell r="AD1704" t="str">
            <v>Ｂ</v>
          </cell>
          <cell r="AE1704" t="str">
            <v>ロ</v>
          </cell>
          <cell r="AF1704">
            <v>10</v>
          </cell>
          <cell r="AG1704">
            <v>10</v>
          </cell>
          <cell r="AH1704">
            <v>1</v>
          </cell>
          <cell r="AK1704" t="str">
            <v>門前第２雨水幹線</v>
          </cell>
          <cell r="AQ1704" t="str">
            <v/>
          </cell>
          <cell r="AR1704" t="str">
            <v>ステップ流入式多段硝化脱窒法</v>
          </cell>
          <cell r="AS1704" t="str">
            <v>3321301001</v>
          </cell>
          <cell r="AT1704" t="str">
            <v/>
          </cell>
          <cell r="AU1704" t="str">
            <v>10</v>
          </cell>
          <cell r="AV1704" t="str">
            <v>10</v>
          </cell>
          <cell r="AW1704">
            <v>0</v>
          </cell>
          <cell r="AX1704">
            <v>0</v>
          </cell>
          <cell r="AY1704">
            <v>0</v>
          </cell>
          <cell r="AZ1704">
            <v>0</v>
          </cell>
          <cell r="BA1704">
            <v>0</v>
          </cell>
          <cell r="BD1704" t="str">
            <v/>
          </cell>
          <cell r="BE1704">
            <v>1</v>
          </cell>
          <cell r="BG1704" t="str">
            <v>1100</v>
          </cell>
        </row>
        <row r="1705">
          <cell r="B1705" t="str">
            <v>G332130106100200</v>
          </cell>
          <cell r="C1705" t="str">
            <v>33.岡山県</v>
          </cell>
          <cell r="D1705" t="str">
            <v>213</v>
          </cell>
          <cell r="E1705" t="str">
            <v>赤磐市</v>
          </cell>
          <cell r="F1705" t="str">
            <v>01</v>
          </cell>
          <cell r="G1705" t="str">
            <v>公共 単独</v>
          </cell>
          <cell r="H1705" t="str">
            <v>公共下水道</v>
          </cell>
          <cell r="I1705" t="str">
            <v>単独</v>
          </cell>
          <cell r="J1705" t="str">
            <v>002</v>
          </cell>
          <cell r="K1705" t="str">
            <v>桜が丘東浄化センター</v>
          </cell>
          <cell r="M1705" t="str">
            <v>1</v>
          </cell>
          <cell r="N1705" t="str">
            <v>1</v>
          </cell>
          <cell r="Q1705">
            <v>39508</v>
          </cell>
          <cell r="R1705" t="str">
            <v>平成</v>
          </cell>
          <cell r="S1705">
            <v>20</v>
          </cell>
          <cell r="T1705">
            <v>3</v>
          </cell>
          <cell r="AB1705">
            <v>9400</v>
          </cell>
          <cell r="AC1705" t="str">
            <v>瀬戸内海</v>
          </cell>
          <cell r="AD1705" t="str">
            <v>Ｂ</v>
          </cell>
          <cell r="AE1705" t="str">
            <v>ロ</v>
          </cell>
          <cell r="AF1705">
            <v>15</v>
          </cell>
          <cell r="AG1705">
            <v>20</v>
          </cell>
          <cell r="AH1705">
            <v>2</v>
          </cell>
          <cell r="AK1705" t="str">
            <v>小野田川</v>
          </cell>
          <cell r="AL1705" t="str">
            <v>広域水道企業団</v>
          </cell>
          <cell r="AN1705">
            <v>15</v>
          </cell>
          <cell r="AO1705" t="str">
            <v>広域水道企業団</v>
          </cell>
          <cell r="AQ1705" t="str">
            <v/>
          </cell>
          <cell r="AR1705" t="str">
            <v>長時間エアレーション法</v>
          </cell>
          <cell r="AS1705" t="str">
            <v>3321301002</v>
          </cell>
          <cell r="AT1705" t="str">
            <v/>
          </cell>
          <cell r="AU1705" t="str">
            <v>10</v>
          </cell>
          <cell r="AV1705" t="str">
            <v>10</v>
          </cell>
          <cell r="AW1705">
            <v>0</v>
          </cell>
          <cell r="AX1705">
            <v>0</v>
          </cell>
          <cell r="AY1705">
            <v>0</v>
          </cell>
          <cell r="AZ1705">
            <v>0</v>
          </cell>
          <cell r="BA1705">
            <v>0</v>
          </cell>
          <cell r="BD1705" t="str">
            <v/>
          </cell>
          <cell r="BE1705">
            <v>1</v>
          </cell>
          <cell r="BG1705" t="str">
            <v>1100</v>
          </cell>
        </row>
        <row r="1706">
          <cell r="B1706" t="str">
            <v>G332130206100300</v>
          </cell>
          <cell r="C1706" t="str">
            <v>33.岡山県</v>
          </cell>
          <cell r="D1706" t="str">
            <v>213</v>
          </cell>
          <cell r="E1706" t="str">
            <v>赤磐市</v>
          </cell>
          <cell r="F1706" t="str">
            <v>02</v>
          </cell>
          <cell r="G1706" t="str">
            <v>特環 単独</v>
          </cell>
          <cell r="H1706" t="str">
            <v>特定環境保全公共下水道</v>
          </cell>
          <cell r="I1706" t="str">
            <v>単独</v>
          </cell>
          <cell r="J1706" t="str">
            <v>003</v>
          </cell>
          <cell r="K1706" t="str">
            <v>熊山浄化センター</v>
          </cell>
          <cell r="M1706" t="str">
            <v>1</v>
          </cell>
          <cell r="N1706" t="str">
            <v>1</v>
          </cell>
          <cell r="Q1706">
            <v>37347</v>
          </cell>
          <cell r="R1706" t="str">
            <v>平成</v>
          </cell>
          <cell r="S1706">
            <v>14</v>
          </cell>
          <cell r="T1706">
            <v>4</v>
          </cell>
          <cell r="AB1706">
            <v>10500</v>
          </cell>
          <cell r="AC1706" t="str">
            <v>瀬戸内海</v>
          </cell>
          <cell r="AD1706" t="str">
            <v>Ｂ</v>
          </cell>
          <cell r="AE1706" t="str">
            <v>ロ</v>
          </cell>
          <cell r="AF1706">
            <v>15</v>
          </cell>
          <cell r="AG1706">
            <v>20</v>
          </cell>
          <cell r="AH1706">
            <v>2</v>
          </cell>
          <cell r="AK1706" t="str">
            <v>小野田川</v>
          </cell>
          <cell r="AL1706" t="str">
            <v>広域水道企業団</v>
          </cell>
          <cell r="AN1706">
            <v>15</v>
          </cell>
          <cell r="AO1706" t="str">
            <v>広域水道企業団</v>
          </cell>
          <cell r="AQ1706" t="str">
            <v/>
          </cell>
          <cell r="AR1706" t="str">
            <v>オキシディションディッチ法</v>
          </cell>
          <cell r="AS1706" t="str">
            <v>3321302003</v>
          </cell>
          <cell r="AT1706" t="str">
            <v/>
          </cell>
          <cell r="AU1706" t="str">
            <v>10</v>
          </cell>
          <cell r="AV1706" t="str">
            <v>10</v>
          </cell>
          <cell r="AW1706">
            <v>0</v>
          </cell>
          <cell r="AX1706">
            <v>0</v>
          </cell>
          <cell r="AY1706">
            <v>0</v>
          </cell>
          <cell r="AZ1706">
            <v>0</v>
          </cell>
          <cell r="BA1706">
            <v>0</v>
          </cell>
          <cell r="BD1706" t="str">
            <v/>
          </cell>
          <cell r="BE1706">
            <v>1</v>
          </cell>
          <cell r="BG1706" t="str">
            <v>1100</v>
          </cell>
        </row>
        <row r="1707">
          <cell r="B1707" t="str">
            <v>G332130206100400</v>
          </cell>
          <cell r="C1707" t="str">
            <v>33.岡山県</v>
          </cell>
          <cell r="D1707" t="str">
            <v>213</v>
          </cell>
          <cell r="E1707" t="str">
            <v>赤磐市</v>
          </cell>
          <cell r="F1707" t="str">
            <v>02</v>
          </cell>
          <cell r="G1707" t="str">
            <v>特環 単独</v>
          </cell>
          <cell r="H1707" t="str">
            <v>特定環境保全公共下水道</v>
          </cell>
          <cell r="I1707" t="str">
            <v>単独</v>
          </cell>
          <cell r="J1707" t="str">
            <v>004</v>
          </cell>
          <cell r="K1707" t="str">
            <v>吉井浄化センター</v>
          </cell>
          <cell r="M1707" t="str">
            <v>1</v>
          </cell>
          <cell r="N1707" t="str">
            <v>1</v>
          </cell>
          <cell r="Q1707">
            <v>37316</v>
          </cell>
          <cell r="R1707" t="str">
            <v>平成</v>
          </cell>
          <cell r="S1707">
            <v>14</v>
          </cell>
          <cell r="T1707">
            <v>3</v>
          </cell>
          <cell r="AB1707">
            <v>7200</v>
          </cell>
          <cell r="AC1707" t="str">
            <v>瀬戸内海</v>
          </cell>
          <cell r="AD1707" t="str">
            <v>Ｂ</v>
          </cell>
          <cell r="AE1707" t="str">
            <v>ロ</v>
          </cell>
          <cell r="AF1707">
            <v>20</v>
          </cell>
          <cell r="AG1707">
            <v>15</v>
          </cell>
          <cell r="AH1707">
            <v>2</v>
          </cell>
          <cell r="AI1707" t="str">
            <v>平谷川</v>
          </cell>
          <cell r="AK1707" t="str">
            <v>吉井川</v>
          </cell>
          <cell r="AQ1707" t="str">
            <v/>
          </cell>
          <cell r="AR1707" t="str">
            <v>オキシディションディッチ法</v>
          </cell>
          <cell r="AS1707" t="str">
            <v>3321302004</v>
          </cell>
          <cell r="AT1707" t="str">
            <v/>
          </cell>
          <cell r="AU1707" t="str">
            <v>10</v>
          </cell>
          <cell r="AV1707" t="str">
            <v>10</v>
          </cell>
          <cell r="AW1707">
            <v>0</v>
          </cell>
          <cell r="AX1707">
            <v>0</v>
          </cell>
          <cell r="AY1707">
            <v>0</v>
          </cell>
          <cell r="AZ1707">
            <v>0</v>
          </cell>
          <cell r="BA1707">
            <v>0</v>
          </cell>
          <cell r="BD1707" t="str">
            <v/>
          </cell>
          <cell r="BE1707">
            <v>1</v>
          </cell>
          <cell r="BG1707" t="str">
            <v>1100</v>
          </cell>
        </row>
        <row r="1708">
          <cell r="B1708" t="str">
            <v>G332140106100100</v>
          </cell>
          <cell r="C1708" t="str">
            <v>33.岡山県</v>
          </cell>
          <cell r="D1708" t="str">
            <v>214</v>
          </cell>
          <cell r="E1708" t="str">
            <v>真庭市</v>
          </cell>
          <cell r="F1708" t="str">
            <v>01</v>
          </cell>
          <cell r="G1708" t="str">
            <v>公共 単独</v>
          </cell>
          <cell r="H1708" t="str">
            <v>公共下水道</v>
          </cell>
          <cell r="I1708" t="str">
            <v>単独</v>
          </cell>
          <cell r="J1708" t="str">
            <v>001</v>
          </cell>
          <cell r="K1708" t="str">
            <v>久世浄化センター</v>
          </cell>
          <cell r="M1708" t="str">
            <v>1</v>
          </cell>
          <cell r="N1708" t="str">
            <v>1</v>
          </cell>
          <cell r="Q1708">
            <v>37681</v>
          </cell>
          <cell r="R1708" t="str">
            <v>平成</v>
          </cell>
          <cell r="S1708">
            <v>15</v>
          </cell>
          <cell r="T1708">
            <v>3</v>
          </cell>
          <cell r="AB1708">
            <v>29300</v>
          </cell>
          <cell r="AC1708" t="str">
            <v>旭川</v>
          </cell>
          <cell r="AD1708" t="str">
            <v>Ａ</v>
          </cell>
          <cell r="AE1708" t="str">
            <v>イ</v>
          </cell>
          <cell r="AF1708">
            <v>15</v>
          </cell>
          <cell r="AG1708">
            <v>20</v>
          </cell>
          <cell r="AH1708">
            <v>2</v>
          </cell>
          <cell r="AK1708" t="str">
            <v>旭川</v>
          </cell>
          <cell r="AL1708" t="str">
            <v>黒尾</v>
          </cell>
          <cell r="AO1708" t="str">
            <v>真庭市</v>
          </cell>
          <cell r="AQ1708" t="str">
            <v/>
          </cell>
          <cell r="AR1708" t="str">
            <v>オキシディションディッチ法</v>
          </cell>
          <cell r="AS1708" t="str">
            <v>3321401001</v>
          </cell>
          <cell r="AT1708" t="str">
            <v/>
          </cell>
          <cell r="AU1708" t="str">
            <v>10</v>
          </cell>
          <cell r="AV1708" t="str">
            <v>10</v>
          </cell>
          <cell r="AW1708">
            <v>0</v>
          </cell>
          <cell r="AX1708">
            <v>0</v>
          </cell>
          <cell r="AY1708">
            <v>0</v>
          </cell>
          <cell r="AZ1708">
            <v>0</v>
          </cell>
          <cell r="BA1708">
            <v>0</v>
          </cell>
          <cell r="BD1708" t="str">
            <v/>
          </cell>
          <cell r="BE1708">
            <v>1</v>
          </cell>
          <cell r="BG1708" t="str">
            <v>1100</v>
          </cell>
        </row>
        <row r="1709">
          <cell r="B1709" t="str">
            <v>G332140206100200</v>
          </cell>
          <cell r="C1709" t="str">
            <v>33.岡山県</v>
          </cell>
          <cell r="D1709" t="str">
            <v>214</v>
          </cell>
          <cell r="E1709" t="str">
            <v>真庭市</v>
          </cell>
          <cell r="F1709" t="str">
            <v>02</v>
          </cell>
          <cell r="G1709" t="str">
            <v>特環 単独</v>
          </cell>
          <cell r="H1709" t="str">
            <v>特定環境保全公共下水道</v>
          </cell>
          <cell r="I1709" t="str">
            <v>単独</v>
          </cell>
          <cell r="J1709" t="str">
            <v>002</v>
          </cell>
          <cell r="K1709" t="str">
            <v>蒜山浄化センター</v>
          </cell>
          <cell r="M1709" t="str">
            <v>1</v>
          </cell>
          <cell r="N1709" t="str">
            <v>1</v>
          </cell>
          <cell r="Q1709">
            <v>35855</v>
          </cell>
          <cell r="R1709" t="str">
            <v>平成</v>
          </cell>
          <cell r="S1709">
            <v>10</v>
          </cell>
          <cell r="T1709">
            <v>3</v>
          </cell>
          <cell r="AB1709">
            <v>13900</v>
          </cell>
          <cell r="AC1709" t="str">
            <v>旭川</v>
          </cell>
          <cell r="AD1709" t="str">
            <v>ＡＡ</v>
          </cell>
          <cell r="AE1709" t="str">
            <v>イ</v>
          </cell>
          <cell r="AG1709">
            <v>7.7</v>
          </cell>
          <cell r="AH1709">
            <v>1</v>
          </cell>
          <cell r="AK1709" t="str">
            <v>粟住川</v>
          </cell>
          <cell r="AQ1709" t="str">
            <v/>
          </cell>
          <cell r="AR1709" t="str">
            <v>オキシディションディッチ法</v>
          </cell>
          <cell r="AS1709" t="str">
            <v>3321402002</v>
          </cell>
          <cell r="AT1709" t="str">
            <v/>
          </cell>
          <cell r="AU1709" t="str">
            <v>10</v>
          </cell>
          <cell r="AV1709" t="str">
            <v>10</v>
          </cell>
          <cell r="AW1709">
            <v>0</v>
          </cell>
          <cell r="AX1709">
            <v>0</v>
          </cell>
          <cell r="AY1709">
            <v>0</v>
          </cell>
          <cell r="AZ1709">
            <v>0</v>
          </cell>
          <cell r="BA1709">
            <v>0</v>
          </cell>
          <cell r="BD1709" t="str">
            <v/>
          </cell>
          <cell r="BE1709">
            <v>1</v>
          </cell>
          <cell r="BG1709" t="str">
            <v>1100</v>
          </cell>
        </row>
        <row r="1710">
          <cell r="B1710" t="str">
            <v>G332140206100300</v>
          </cell>
          <cell r="C1710" t="str">
            <v>33.岡山県</v>
          </cell>
          <cell r="D1710" t="str">
            <v>214</v>
          </cell>
          <cell r="E1710" t="str">
            <v>真庭市</v>
          </cell>
          <cell r="F1710" t="str">
            <v>02</v>
          </cell>
          <cell r="G1710" t="str">
            <v>特環 単独</v>
          </cell>
          <cell r="H1710" t="str">
            <v>特定環境保全公共下水道</v>
          </cell>
          <cell r="I1710" t="str">
            <v>単独</v>
          </cell>
          <cell r="J1710" t="str">
            <v>003</v>
          </cell>
          <cell r="K1710" t="str">
            <v>中和浄化センター</v>
          </cell>
          <cell r="M1710" t="str">
            <v>1</v>
          </cell>
          <cell r="N1710" t="str">
            <v>1</v>
          </cell>
          <cell r="Q1710">
            <v>35855</v>
          </cell>
          <cell r="R1710" t="str">
            <v>平成</v>
          </cell>
          <cell r="S1710">
            <v>10</v>
          </cell>
          <cell r="T1710">
            <v>3</v>
          </cell>
          <cell r="AB1710">
            <v>6800</v>
          </cell>
          <cell r="AC1710" t="str">
            <v>旭川</v>
          </cell>
          <cell r="AD1710" t="str">
            <v>ＡＡ</v>
          </cell>
          <cell r="AE1710" t="str">
            <v>イ</v>
          </cell>
          <cell r="AG1710">
            <v>20</v>
          </cell>
          <cell r="AH1710">
            <v>2</v>
          </cell>
          <cell r="AK1710" t="str">
            <v>下和川</v>
          </cell>
          <cell r="AQ1710" t="str">
            <v/>
          </cell>
          <cell r="AR1710" t="str">
            <v>オキシディションディッチ法</v>
          </cell>
          <cell r="AS1710" t="str">
            <v>3321402003</v>
          </cell>
          <cell r="AT1710" t="str">
            <v/>
          </cell>
          <cell r="AU1710" t="str">
            <v>10</v>
          </cell>
          <cell r="AV1710" t="str">
            <v>10</v>
          </cell>
          <cell r="AW1710">
            <v>0</v>
          </cell>
          <cell r="AX1710">
            <v>0</v>
          </cell>
          <cell r="AY1710">
            <v>0</v>
          </cell>
          <cell r="AZ1710">
            <v>0</v>
          </cell>
          <cell r="BA1710">
            <v>0</v>
          </cell>
          <cell r="BD1710" t="str">
            <v/>
          </cell>
          <cell r="BE1710">
            <v>1</v>
          </cell>
          <cell r="BG1710" t="str">
            <v>1100</v>
          </cell>
        </row>
        <row r="1711">
          <cell r="B1711" t="str">
            <v>G332140206100400</v>
          </cell>
          <cell r="C1711" t="str">
            <v>33.岡山県</v>
          </cell>
          <cell r="D1711" t="str">
            <v>214</v>
          </cell>
          <cell r="E1711" t="str">
            <v>真庭市</v>
          </cell>
          <cell r="F1711" t="str">
            <v>02</v>
          </cell>
          <cell r="G1711" t="str">
            <v>特環 単独</v>
          </cell>
          <cell r="H1711" t="str">
            <v>特定環境保全公共下水道</v>
          </cell>
          <cell r="I1711" t="str">
            <v>単独</v>
          </cell>
          <cell r="J1711" t="str">
            <v>004</v>
          </cell>
          <cell r="K1711" t="str">
            <v>蒜山第2浄化センター</v>
          </cell>
          <cell r="M1711" t="str">
            <v>1</v>
          </cell>
          <cell r="N1711" t="str">
            <v>1</v>
          </cell>
          <cell r="Q1711">
            <v>36586</v>
          </cell>
          <cell r="R1711" t="str">
            <v>平成</v>
          </cell>
          <cell r="S1711">
            <v>12</v>
          </cell>
          <cell r="T1711">
            <v>3</v>
          </cell>
          <cell r="AB1711">
            <v>3600</v>
          </cell>
          <cell r="AC1711" t="str">
            <v>旭川</v>
          </cell>
          <cell r="AD1711" t="str">
            <v>ＡＡ</v>
          </cell>
          <cell r="AE1711" t="str">
            <v>イ</v>
          </cell>
          <cell r="AG1711">
            <v>20</v>
          </cell>
          <cell r="AH1711">
            <v>2</v>
          </cell>
          <cell r="AK1711" t="str">
            <v>旭川</v>
          </cell>
          <cell r="AQ1711" t="str">
            <v/>
          </cell>
          <cell r="AR1711" t="str">
            <v>オキシディションディッチ法</v>
          </cell>
          <cell r="AS1711" t="str">
            <v>3321402004</v>
          </cell>
          <cell r="AT1711" t="str">
            <v/>
          </cell>
          <cell r="AU1711" t="str">
            <v>10</v>
          </cell>
          <cell r="AV1711" t="str">
            <v>10</v>
          </cell>
          <cell r="AW1711">
            <v>0</v>
          </cell>
          <cell r="AX1711">
            <v>0</v>
          </cell>
          <cell r="AY1711">
            <v>0</v>
          </cell>
          <cell r="AZ1711">
            <v>0</v>
          </cell>
          <cell r="BA1711">
            <v>0</v>
          </cell>
          <cell r="BD1711" t="str">
            <v/>
          </cell>
          <cell r="BE1711">
            <v>1</v>
          </cell>
          <cell r="BG1711" t="str">
            <v>1100</v>
          </cell>
        </row>
        <row r="1712">
          <cell r="B1712" t="str">
            <v>G332140206100500</v>
          </cell>
          <cell r="C1712" t="str">
            <v>33.岡山県</v>
          </cell>
          <cell r="D1712" t="str">
            <v>214</v>
          </cell>
          <cell r="E1712" t="str">
            <v>真庭市</v>
          </cell>
          <cell r="F1712" t="str">
            <v>02</v>
          </cell>
          <cell r="G1712" t="str">
            <v>特環 単独</v>
          </cell>
          <cell r="H1712" t="str">
            <v>特定環境保全公共下水道</v>
          </cell>
          <cell r="I1712" t="str">
            <v>単独</v>
          </cell>
          <cell r="J1712" t="str">
            <v>005</v>
          </cell>
          <cell r="K1712" t="str">
            <v>美新浄化センター</v>
          </cell>
          <cell r="M1712" t="str">
            <v>1</v>
          </cell>
          <cell r="N1712" t="str">
            <v>1</v>
          </cell>
          <cell r="Q1712">
            <v>39052</v>
          </cell>
          <cell r="R1712" t="str">
            <v>平成</v>
          </cell>
          <cell r="S1712">
            <v>18</v>
          </cell>
          <cell r="T1712">
            <v>12</v>
          </cell>
          <cell r="AB1712">
            <v>3800</v>
          </cell>
          <cell r="AC1712" t="str">
            <v>旭川</v>
          </cell>
          <cell r="AD1712" t="str">
            <v>Ａ</v>
          </cell>
          <cell r="AE1712" t="str">
            <v>イ</v>
          </cell>
          <cell r="AG1712">
            <v>20</v>
          </cell>
          <cell r="AH1712">
            <v>2</v>
          </cell>
          <cell r="AK1712" t="str">
            <v>新庄川</v>
          </cell>
          <cell r="AQ1712" t="str">
            <v/>
          </cell>
          <cell r="AR1712" t="str">
            <v>土壌被覆型礫間接触法</v>
          </cell>
          <cell r="AS1712" t="str">
            <v>3321402005</v>
          </cell>
          <cell r="AT1712" t="str">
            <v/>
          </cell>
          <cell r="AU1712" t="str">
            <v>10</v>
          </cell>
          <cell r="AV1712" t="str">
            <v>10</v>
          </cell>
          <cell r="AW1712">
            <v>0</v>
          </cell>
          <cell r="AX1712">
            <v>0</v>
          </cell>
          <cell r="AY1712">
            <v>0</v>
          </cell>
          <cell r="AZ1712">
            <v>0</v>
          </cell>
          <cell r="BA1712">
            <v>0</v>
          </cell>
          <cell r="BD1712" t="str">
            <v/>
          </cell>
          <cell r="BE1712">
            <v>1</v>
          </cell>
          <cell r="BG1712" t="str">
            <v>1100</v>
          </cell>
        </row>
        <row r="1713">
          <cell r="B1713" t="str">
            <v>G332140106100600</v>
          </cell>
          <cell r="C1713" t="str">
            <v>33.岡山県</v>
          </cell>
          <cell r="D1713" t="str">
            <v>214</v>
          </cell>
          <cell r="E1713" t="str">
            <v>真庭市</v>
          </cell>
          <cell r="F1713" t="str">
            <v>01</v>
          </cell>
          <cell r="G1713" t="str">
            <v>公共 単独</v>
          </cell>
          <cell r="H1713" t="str">
            <v>公共下水道</v>
          </cell>
          <cell r="I1713" t="str">
            <v>単独</v>
          </cell>
          <cell r="J1713" t="str">
            <v>006</v>
          </cell>
          <cell r="K1713" t="str">
            <v>落合浄化センター</v>
          </cell>
          <cell r="M1713" t="str">
            <v>1</v>
          </cell>
          <cell r="Q1713">
            <v>41364</v>
          </cell>
          <cell r="R1713" t="str">
            <v>平成</v>
          </cell>
          <cell r="S1713">
            <v>25</v>
          </cell>
          <cell r="T1713">
            <v>3</v>
          </cell>
          <cell r="AB1713">
            <v>13600</v>
          </cell>
          <cell r="AC1713" t="str">
            <v>旭川</v>
          </cell>
          <cell r="AD1713" t="str">
            <v>Ａ</v>
          </cell>
          <cell r="AE1713" t="str">
            <v>イ</v>
          </cell>
          <cell r="AF1713">
            <v>10</v>
          </cell>
          <cell r="AG1713">
            <v>10</v>
          </cell>
          <cell r="AH1713">
            <v>1</v>
          </cell>
          <cell r="AK1713" t="str">
            <v>河内川</v>
          </cell>
          <cell r="AQ1713" t="str">
            <v>新規</v>
          </cell>
          <cell r="AR1713" t="str">
            <v>オキシディションディッチ法</v>
          </cell>
          <cell r="AS1713" t="str">
            <v>3321401006</v>
          </cell>
          <cell r="AT1713" t="str">
            <v/>
          </cell>
          <cell r="AU1713" t="str">
            <v>00</v>
          </cell>
          <cell r="AV1713" t="str">
            <v>00</v>
          </cell>
          <cell r="AW1713">
            <v>0</v>
          </cell>
          <cell r="AX1713">
            <v>0</v>
          </cell>
          <cell r="AY1713">
            <v>0</v>
          </cell>
          <cell r="AZ1713">
            <v>0</v>
          </cell>
          <cell r="BA1713">
            <v>0</v>
          </cell>
          <cell r="BD1713" t="str">
            <v/>
          </cell>
          <cell r="BE1713">
            <v>1</v>
          </cell>
          <cell r="BG1713" t="str">
            <v>1000</v>
          </cell>
        </row>
        <row r="1714">
          <cell r="B1714" t="str">
            <v>G332150106100100</v>
          </cell>
          <cell r="C1714" t="str">
            <v>33.岡山県</v>
          </cell>
          <cell r="D1714" t="str">
            <v>215</v>
          </cell>
          <cell r="E1714" t="str">
            <v>美作市</v>
          </cell>
          <cell r="F1714" t="str">
            <v>01</v>
          </cell>
          <cell r="G1714" t="str">
            <v>公共 単独</v>
          </cell>
          <cell r="H1714" t="str">
            <v>公共下水道</v>
          </cell>
          <cell r="I1714" t="str">
            <v>単独</v>
          </cell>
          <cell r="J1714" t="str">
            <v>001</v>
          </cell>
          <cell r="K1714" t="str">
            <v>美作浄化センター</v>
          </cell>
          <cell r="M1714" t="str">
            <v>1</v>
          </cell>
          <cell r="N1714" t="str">
            <v>1</v>
          </cell>
          <cell r="Q1714">
            <v>32568</v>
          </cell>
          <cell r="R1714" t="str">
            <v>平成</v>
          </cell>
          <cell r="S1714">
            <v>1</v>
          </cell>
          <cell r="T1714">
            <v>3</v>
          </cell>
          <cell r="AB1714">
            <v>10400</v>
          </cell>
          <cell r="AC1714" t="str">
            <v>吉井川</v>
          </cell>
          <cell r="AD1714" t="str">
            <v>Ａ</v>
          </cell>
          <cell r="AE1714" t="str">
            <v>イ</v>
          </cell>
          <cell r="AF1714">
            <v>10</v>
          </cell>
          <cell r="AG1714">
            <v>20</v>
          </cell>
          <cell r="AH1714">
            <v>2</v>
          </cell>
          <cell r="AI1714" t="str">
            <v>吉野川</v>
          </cell>
          <cell r="AL1714" t="str">
            <v>美作浄水場取水口</v>
          </cell>
          <cell r="AM1714">
            <v>4.5</v>
          </cell>
          <cell r="AO1714" t="str">
            <v>美作市</v>
          </cell>
          <cell r="AQ1714" t="str">
            <v/>
          </cell>
          <cell r="AR1714" t="str">
            <v>酸素活性汚泥法</v>
          </cell>
          <cell r="AS1714" t="str">
            <v>3321501001</v>
          </cell>
          <cell r="AT1714" t="str">
            <v/>
          </cell>
          <cell r="AU1714" t="str">
            <v>10</v>
          </cell>
          <cell r="AV1714" t="str">
            <v>10</v>
          </cell>
          <cell r="AW1714">
            <v>0</v>
          </cell>
          <cell r="AX1714">
            <v>0</v>
          </cell>
          <cell r="AY1714">
            <v>0</v>
          </cell>
          <cell r="AZ1714">
            <v>0</v>
          </cell>
          <cell r="BA1714">
            <v>0</v>
          </cell>
          <cell r="BD1714" t="str">
            <v/>
          </cell>
          <cell r="BE1714">
            <v>1</v>
          </cell>
          <cell r="BG1714" t="str">
            <v>1100</v>
          </cell>
        </row>
        <row r="1715">
          <cell r="B1715" t="str">
            <v>G332150106100200</v>
          </cell>
          <cell r="C1715" t="str">
            <v>33.岡山県</v>
          </cell>
          <cell r="D1715" t="str">
            <v>215</v>
          </cell>
          <cell r="E1715" t="str">
            <v>美作市</v>
          </cell>
          <cell r="F1715" t="str">
            <v>01</v>
          </cell>
          <cell r="G1715" t="str">
            <v>公共 単独</v>
          </cell>
          <cell r="H1715" t="str">
            <v>公共下水道</v>
          </cell>
          <cell r="I1715" t="str">
            <v>単独</v>
          </cell>
          <cell r="J1715" t="str">
            <v>002</v>
          </cell>
          <cell r="K1715" t="str">
            <v>楢原浄化センター</v>
          </cell>
          <cell r="M1715" t="str">
            <v>1</v>
          </cell>
          <cell r="N1715" t="str">
            <v>1</v>
          </cell>
          <cell r="Q1715">
            <v>38412</v>
          </cell>
          <cell r="R1715" t="str">
            <v>平成</v>
          </cell>
          <cell r="S1715">
            <v>17</v>
          </cell>
          <cell r="T1715">
            <v>3</v>
          </cell>
          <cell r="AB1715">
            <v>4999</v>
          </cell>
          <cell r="AC1715" t="str">
            <v>吉井川</v>
          </cell>
          <cell r="AD1715" t="str">
            <v>Ａ</v>
          </cell>
          <cell r="AE1715" t="str">
            <v>イ</v>
          </cell>
          <cell r="AF1715">
            <v>10</v>
          </cell>
          <cell r="AG1715">
            <v>10</v>
          </cell>
          <cell r="AH1715">
            <v>1</v>
          </cell>
          <cell r="AI1715" t="str">
            <v>梶並川</v>
          </cell>
          <cell r="AL1715" t="str">
            <v>美作浄水場取水口</v>
          </cell>
          <cell r="AM1715">
            <v>0.1</v>
          </cell>
          <cell r="AO1715" t="str">
            <v>美作市</v>
          </cell>
          <cell r="AQ1715" t="str">
            <v/>
          </cell>
          <cell r="AR1715" t="str">
            <v>オキシディションディッチ法</v>
          </cell>
          <cell r="AS1715" t="str">
            <v>3321501002</v>
          </cell>
          <cell r="AT1715" t="str">
            <v/>
          </cell>
          <cell r="AU1715" t="str">
            <v>10</v>
          </cell>
          <cell r="AV1715" t="str">
            <v>10</v>
          </cell>
          <cell r="AW1715">
            <v>0</v>
          </cell>
          <cell r="AX1715">
            <v>0</v>
          </cell>
          <cell r="AY1715">
            <v>0</v>
          </cell>
          <cell r="AZ1715">
            <v>0</v>
          </cell>
          <cell r="BA1715">
            <v>0</v>
          </cell>
          <cell r="BD1715" t="str">
            <v/>
          </cell>
          <cell r="BE1715">
            <v>1</v>
          </cell>
          <cell r="BG1715" t="str">
            <v>1100</v>
          </cell>
        </row>
        <row r="1716">
          <cell r="B1716" t="str">
            <v>G332150206100300</v>
          </cell>
          <cell r="C1716" t="str">
            <v>33.岡山県</v>
          </cell>
          <cell r="D1716" t="str">
            <v>215</v>
          </cell>
          <cell r="E1716" t="str">
            <v>美作市</v>
          </cell>
          <cell r="F1716" t="str">
            <v>02</v>
          </cell>
          <cell r="G1716" t="str">
            <v>特環 単独</v>
          </cell>
          <cell r="H1716" t="str">
            <v>特定環境保全公共下水道</v>
          </cell>
          <cell r="I1716" t="str">
            <v>単独</v>
          </cell>
          <cell r="J1716" t="str">
            <v>003</v>
          </cell>
          <cell r="K1716" t="str">
            <v>粟井浄化センター</v>
          </cell>
          <cell r="M1716" t="str">
            <v>1</v>
          </cell>
          <cell r="N1716" t="str">
            <v>1</v>
          </cell>
          <cell r="Q1716">
            <v>35855</v>
          </cell>
          <cell r="R1716" t="str">
            <v>平成</v>
          </cell>
          <cell r="S1716">
            <v>10</v>
          </cell>
          <cell r="T1716">
            <v>3</v>
          </cell>
          <cell r="AB1716">
            <v>1870</v>
          </cell>
          <cell r="AC1716" t="str">
            <v>吉井川</v>
          </cell>
          <cell r="AD1716" t="str">
            <v>Ａ</v>
          </cell>
          <cell r="AE1716" t="str">
            <v>イ</v>
          </cell>
          <cell r="AF1716">
            <v>15</v>
          </cell>
          <cell r="AG1716">
            <v>20</v>
          </cell>
          <cell r="AH1716">
            <v>2</v>
          </cell>
          <cell r="AI1716" t="str">
            <v>粟井川</v>
          </cell>
          <cell r="AL1716" t="str">
            <v>美作浄水場取水口</v>
          </cell>
          <cell r="AN1716">
            <v>12.3</v>
          </cell>
          <cell r="AO1716" t="str">
            <v>美作市</v>
          </cell>
          <cell r="AQ1716" t="str">
            <v/>
          </cell>
          <cell r="AR1716" t="str">
            <v>オキシディションディッチ法</v>
          </cell>
          <cell r="AS1716" t="str">
            <v>3321502003</v>
          </cell>
          <cell r="AT1716" t="str">
            <v/>
          </cell>
          <cell r="AU1716" t="str">
            <v>10</v>
          </cell>
          <cell r="AV1716" t="str">
            <v>10</v>
          </cell>
          <cell r="AW1716">
            <v>0</v>
          </cell>
          <cell r="AX1716">
            <v>0</v>
          </cell>
          <cell r="AY1716">
            <v>0</v>
          </cell>
          <cell r="AZ1716">
            <v>0</v>
          </cell>
          <cell r="BA1716">
            <v>0</v>
          </cell>
          <cell r="BD1716" t="str">
            <v/>
          </cell>
          <cell r="BE1716">
            <v>1</v>
          </cell>
          <cell r="BG1716" t="str">
            <v>1100</v>
          </cell>
        </row>
        <row r="1717">
          <cell r="B1717" t="str">
            <v>G332150206100400</v>
          </cell>
          <cell r="C1717" t="str">
            <v>33.岡山県</v>
          </cell>
          <cell r="D1717" t="str">
            <v>215</v>
          </cell>
          <cell r="E1717" t="str">
            <v>美作市</v>
          </cell>
          <cell r="F1717" t="str">
            <v>02</v>
          </cell>
          <cell r="G1717" t="str">
            <v>特環 単独</v>
          </cell>
          <cell r="H1717" t="str">
            <v>特定環境保全公共下水道</v>
          </cell>
          <cell r="I1717" t="str">
            <v>単独</v>
          </cell>
          <cell r="J1717" t="str">
            <v>004</v>
          </cell>
          <cell r="K1717" t="str">
            <v>大原浄化センター</v>
          </cell>
          <cell r="M1717" t="str">
            <v>1</v>
          </cell>
          <cell r="N1717" t="str">
            <v>1</v>
          </cell>
          <cell r="Q1717">
            <v>36800</v>
          </cell>
          <cell r="R1717" t="str">
            <v>平成</v>
          </cell>
          <cell r="S1717">
            <v>12</v>
          </cell>
          <cell r="T1717">
            <v>10</v>
          </cell>
          <cell r="AB1717">
            <v>10300</v>
          </cell>
          <cell r="AC1717" t="str">
            <v>吉井川</v>
          </cell>
          <cell r="AD1717" t="str">
            <v>Ａ</v>
          </cell>
          <cell r="AE1717" t="str">
            <v>イ</v>
          </cell>
          <cell r="AF1717">
            <v>15</v>
          </cell>
          <cell r="AG1717">
            <v>20</v>
          </cell>
          <cell r="AH1717">
            <v>2</v>
          </cell>
          <cell r="AI1717" t="str">
            <v>吉野川</v>
          </cell>
          <cell r="AL1717" t="str">
            <v>松脇浄水場取水口</v>
          </cell>
          <cell r="AN1717">
            <v>8.1</v>
          </cell>
          <cell r="AO1717" t="str">
            <v>美作市</v>
          </cell>
          <cell r="AQ1717" t="str">
            <v/>
          </cell>
          <cell r="AR1717" t="str">
            <v>オキシディションディッチ法</v>
          </cell>
          <cell r="AS1717" t="str">
            <v>3321502004</v>
          </cell>
          <cell r="AT1717" t="str">
            <v/>
          </cell>
          <cell r="AU1717" t="str">
            <v>10</v>
          </cell>
          <cell r="AV1717" t="str">
            <v>10</v>
          </cell>
          <cell r="AW1717">
            <v>0</v>
          </cell>
          <cell r="AX1717">
            <v>0</v>
          </cell>
          <cell r="AY1717">
            <v>0</v>
          </cell>
          <cell r="AZ1717">
            <v>0</v>
          </cell>
          <cell r="BA1717">
            <v>0</v>
          </cell>
          <cell r="BD1717" t="str">
            <v/>
          </cell>
          <cell r="BE1717">
            <v>1</v>
          </cell>
          <cell r="BG1717" t="str">
            <v>1100</v>
          </cell>
        </row>
        <row r="1718">
          <cell r="B1718" t="str">
            <v>G332150206100500</v>
          </cell>
          <cell r="C1718" t="str">
            <v>33.岡山県</v>
          </cell>
          <cell r="D1718" t="str">
            <v>215</v>
          </cell>
          <cell r="E1718" t="str">
            <v>美作市</v>
          </cell>
          <cell r="F1718" t="str">
            <v>02</v>
          </cell>
          <cell r="G1718" t="str">
            <v>特環 単独</v>
          </cell>
          <cell r="H1718" t="str">
            <v>特定環境保全公共下水道</v>
          </cell>
          <cell r="I1718" t="str">
            <v>単独</v>
          </cell>
          <cell r="J1718" t="str">
            <v>005</v>
          </cell>
          <cell r="K1718" t="str">
            <v>土居浄化センター</v>
          </cell>
          <cell r="M1718" t="str">
            <v>1</v>
          </cell>
          <cell r="N1718" t="str">
            <v>1</v>
          </cell>
          <cell r="Q1718">
            <v>36586</v>
          </cell>
          <cell r="R1718" t="str">
            <v>平成</v>
          </cell>
          <cell r="S1718">
            <v>12</v>
          </cell>
          <cell r="T1718">
            <v>3</v>
          </cell>
          <cell r="AB1718">
            <v>5670</v>
          </cell>
          <cell r="AC1718" t="str">
            <v>吉井川</v>
          </cell>
          <cell r="AD1718" t="str">
            <v>Ａ</v>
          </cell>
          <cell r="AE1718" t="str">
            <v>イ</v>
          </cell>
          <cell r="AF1718">
            <v>15</v>
          </cell>
          <cell r="AG1718">
            <v>20</v>
          </cell>
          <cell r="AH1718">
            <v>2</v>
          </cell>
          <cell r="AI1718" t="str">
            <v>山家川</v>
          </cell>
          <cell r="AL1718" t="str">
            <v>松脇浄水場取水口</v>
          </cell>
          <cell r="AM1718">
            <v>7.9</v>
          </cell>
          <cell r="AO1718" t="str">
            <v>美作市</v>
          </cell>
          <cell r="AQ1718" t="str">
            <v/>
          </cell>
          <cell r="AR1718" t="str">
            <v>オキシディションディッチ法</v>
          </cell>
          <cell r="AS1718" t="str">
            <v>3321502005</v>
          </cell>
          <cell r="AT1718" t="str">
            <v/>
          </cell>
          <cell r="AU1718" t="str">
            <v>10</v>
          </cell>
          <cell r="AV1718" t="str">
            <v>10</v>
          </cell>
          <cell r="AW1718">
            <v>0</v>
          </cell>
          <cell r="AX1718">
            <v>0</v>
          </cell>
          <cell r="AY1718">
            <v>0</v>
          </cell>
          <cell r="AZ1718">
            <v>0</v>
          </cell>
          <cell r="BA1718">
            <v>0</v>
          </cell>
          <cell r="BD1718" t="str">
            <v/>
          </cell>
          <cell r="BE1718">
            <v>1</v>
          </cell>
          <cell r="BG1718" t="str">
            <v>1100</v>
          </cell>
        </row>
        <row r="1719">
          <cell r="B1719" t="str">
            <v>G332150206100600</v>
          </cell>
          <cell r="C1719" t="str">
            <v>33.岡山県</v>
          </cell>
          <cell r="D1719" t="str">
            <v>215</v>
          </cell>
          <cell r="E1719" t="str">
            <v>美作市</v>
          </cell>
          <cell r="F1719" t="str">
            <v>02</v>
          </cell>
          <cell r="G1719" t="str">
            <v>特環 単独</v>
          </cell>
          <cell r="H1719" t="str">
            <v>特定環境保全公共下水道</v>
          </cell>
          <cell r="I1719" t="str">
            <v>単独</v>
          </cell>
          <cell r="J1719" t="str">
            <v>006</v>
          </cell>
          <cell r="K1719" t="str">
            <v>英田浄化センター</v>
          </cell>
          <cell r="M1719" t="str">
            <v>1</v>
          </cell>
          <cell r="N1719" t="str">
            <v>1</v>
          </cell>
          <cell r="Q1719">
            <v>36951</v>
          </cell>
          <cell r="R1719" t="str">
            <v>平成</v>
          </cell>
          <cell r="S1719">
            <v>13</v>
          </cell>
          <cell r="T1719">
            <v>3</v>
          </cell>
          <cell r="AB1719">
            <v>7400</v>
          </cell>
          <cell r="AC1719" t="str">
            <v>吉井川</v>
          </cell>
          <cell r="AD1719" t="str">
            <v>Ａ</v>
          </cell>
          <cell r="AE1719" t="str">
            <v>イ</v>
          </cell>
          <cell r="AF1719">
            <v>15</v>
          </cell>
          <cell r="AG1719">
            <v>20</v>
          </cell>
          <cell r="AH1719">
            <v>2</v>
          </cell>
          <cell r="AI1719" t="str">
            <v>吉野川</v>
          </cell>
          <cell r="AL1719" t="str">
            <v>英田浄水場取水口</v>
          </cell>
          <cell r="AM1719">
            <v>2.4</v>
          </cell>
          <cell r="AO1719" t="str">
            <v>美作市</v>
          </cell>
          <cell r="AQ1719" t="str">
            <v/>
          </cell>
          <cell r="AR1719" t="str">
            <v>オキシディションディッチ法</v>
          </cell>
          <cell r="AS1719" t="str">
            <v>3321502006</v>
          </cell>
          <cell r="AT1719" t="str">
            <v/>
          </cell>
          <cell r="AU1719" t="str">
            <v>10</v>
          </cell>
          <cell r="AV1719" t="str">
            <v>10</v>
          </cell>
          <cell r="AW1719">
            <v>0</v>
          </cell>
          <cell r="AX1719">
            <v>0</v>
          </cell>
          <cell r="AY1719">
            <v>0</v>
          </cell>
          <cell r="AZ1719">
            <v>0</v>
          </cell>
          <cell r="BA1719">
            <v>0</v>
          </cell>
          <cell r="BD1719" t="str">
            <v/>
          </cell>
          <cell r="BE1719">
            <v>1</v>
          </cell>
          <cell r="BG1719" t="str">
            <v>1100</v>
          </cell>
        </row>
        <row r="1720">
          <cell r="B1720" t="str">
            <v>G332150206100700</v>
          </cell>
          <cell r="C1720" t="str">
            <v>33.岡山県</v>
          </cell>
          <cell r="D1720" t="str">
            <v>215</v>
          </cell>
          <cell r="E1720" t="str">
            <v>美作市</v>
          </cell>
          <cell r="F1720" t="str">
            <v>02</v>
          </cell>
          <cell r="G1720" t="str">
            <v>特環 単独</v>
          </cell>
          <cell r="H1720" t="str">
            <v>特定環境保全公共下水道</v>
          </cell>
          <cell r="I1720" t="str">
            <v>単独</v>
          </cell>
          <cell r="J1720" t="str">
            <v>007</v>
          </cell>
          <cell r="K1720" t="str">
            <v>江見浄化センター</v>
          </cell>
          <cell r="M1720" t="str">
            <v>1</v>
          </cell>
          <cell r="N1720" t="str">
            <v>1</v>
          </cell>
          <cell r="Q1720">
            <v>36951</v>
          </cell>
          <cell r="R1720" t="str">
            <v>平成</v>
          </cell>
          <cell r="S1720">
            <v>13</v>
          </cell>
          <cell r="T1720">
            <v>3</v>
          </cell>
          <cell r="AB1720">
            <v>7950</v>
          </cell>
          <cell r="AC1720" t="str">
            <v>吉井川</v>
          </cell>
          <cell r="AD1720" t="str">
            <v>Ａ</v>
          </cell>
          <cell r="AE1720" t="str">
            <v>イ</v>
          </cell>
          <cell r="AF1720">
            <v>15</v>
          </cell>
          <cell r="AG1720">
            <v>20</v>
          </cell>
          <cell r="AH1720">
            <v>2</v>
          </cell>
          <cell r="AI1720" t="str">
            <v>吉野川</v>
          </cell>
          <cell r="AL1720" t="str">
            <v>松脇浄水場取水口</v>
          </cell>
          <cell r="AM1720">
            <v>6.9</v>
          </cell>
          <cell r="AO1720" t="str">
            <v>美作市</v>
          </cell>
          <cell r="AQ1720" t="str">
            <v/>
          </cell>
          <cell r="AR1720" t="str">
            <v>オキシディションディッチ法</v>
          </cell>
          <cell r="AS1720" t="str">
            <v>3321502007</v>
          </cell>
          <cell r="AT1720" t="str">
            <v/>
          </cell>
          <cell r="AU1720" t="str">
            <v>10</v>
          </cell>
          <cell r="AV1720" t="str">
            <v>10</v>
          </cell>
          <cell r="AW1720">
            <v>0</v>
          </cell>
          <cell r="AX1720">
            <v>0</v>
          </cell>
          <cell r="AY1720">
            <v>0</v>
          </cell>
          <cell r="AZ1720">
            <v>0</v>
          </cell>
          <cell r="BA1720">
            <v>0</v>
          </cell>
          <cell r="BD1720" t="str">
            <v/>
          </cell>
          <cell r="BE1720">
            <v>1</v>
          </cell>
          <cell r="BG1720" t="str">
            <v>1100</v>
          </cell>
        </row>
        <row r="1721">
          <cell r="B1721" t="str">
            <v>G332150206100800</v>
          </cell>
          <cell r="C1721" t="str">
            <v>33.岡山県</v>
          </cell>
          <cell r="D1721" t="str">
            <v>215</v>
          </cell>
          <cell r="E1721" t="str">
            <v>美作市</v>
          </cell>
          <cell r="F1721" t="str">
            <v>02</v>
          </cell>
          <cell r="G1721" t="str">
            <v>特環 単独</v>
          </cell>
          <cell r="H1721" t="str">
            <v>特定環境保全公共下水道</v>
          </cell>
          <cell r="I1721" t="str">
            <v>単独</v>
          </cell>
          <cell r="J1721" t="str">
            <v>008</v>
          </cell>
          <cell r="K1721" t="str">
            <v>吉野浄化センター</v>
          </cell>
          <cell r="M1721" t="str">
            <v>1</v>
          </cell>
          <cell r="N1721" t="str">
            <v>1</v>
          </cell>
          <cell r="Q1721">
            <v>37316</v>
          </cell>
          <cell r="R1721" t="str">
            <v>平成</v>
          </cell>
          <cell r="S1721">
            <v>14</v>
          </cell>
          <cell r="T1721">
            <v>3</v>
          </cell>
          <cell r="AB1721">
            <v>3600</v>
          </cell>
          <cell r="AC1721" t="str">
            <v>吉井川</v>
          </cell>
          <cell r="AD1721" t="str">
            <v>Ａ</v>
          </cell>
          <cell r="AE1721" t="str">
            <v>イ</v>
          </cell>
          <cell r="AF1721">
            <v>15</v>
          </cell>
          <cell r="AG1721">
            <v>20</v>
          </cell>
          <cell r="AH1721">
            <v>2</v>
          </cell>
          <cell r="AI1721" t="str">
            <v>吉野川</v>
          </cell>
          <cell r="AL1721" t="str">
            <v>松脇浄水場取水口</v>
          </cell>
          <cell r="AN1721">
            <v>3.3</v>
          </cell>
          <cell r="AO1721" t="str">
            <v>美作市</v>
          </cell>
          <cell r="AQ1721" t="str">
            <v/>
          </cell>
          <cell r="AR1721" t="str">
            <v>オキシディションディッチ法</v>
          </cell>
          <cell r="AS1721" t="str">
            <v>3321502008</v>
          </cell>
          <cell r="AT1721" t="str">
            <v/>
          </cell>
          <cell r="AU1721" t="str">
            <v>10</v>
          </cell>
          <cell r="AV1721" t="str">
            <v>10</v>
          </cell>
          <cell r="AW1721">
            <v>0</v>
          </cell>
          <cell r="AX1721">
            <v>0</v>
          </cell>
          <cell r="AY1721">
            <v>0</v>
          </cell>
          <cell r="AZ1721">
            <v>0</v>
          </cell>
          <cell r="BA1721">
            <v>0</v>
          </cell>
          <cell r="BD1721" t="str">
            <v/>
          </cell>
          <cell r="BE1721">
            <v>1</v>
          </cell>
          <cell r="BG1721" t="str">
            <v>1100</v>
          </cell>
        </row>
        <row r="1722">
          <cell r="B1722" t="str">
            <v>G332150206100900</v>
          </cell>
          <cell r="C1722" t="str">
            <v>33.岡山県</v>
          </cell>
          <cell r="D1722" t="str">
            <v>215</v>
          </cell>
          <cell r="E1722" t="str">
            <v>美作市</v>
          </cell>
          <cell r="F1722" t="str">
            <v>02</v>
          </cell>
          <cell r="G1722" t="str">
            <v>特環 単独</v>
          </cell>
          <cell r="H1722" t="str">
            <v>特定環境保全公共下水道</v>
          </cell>
          <cell r="I1722" t="str">
            <v>単独</v>
          </cell>
          <cell r="J1722" t="str">
            <v>009</v>
          </cell>
          <cell r="K1722" t="str">
            <v>西南浄化センター</v>
          </cell>
          <cell r="M1722" t="str">
            <v>1</v>
          </cell>
          <cell r="N1722" t="str">
            <v>1</v>
          </cell>
          <cell r="Q1722">
            <v>37681</v>
          </cell>
          <cell r="R1722" t="str">
            <v>平成</v>
          </cell>
          <cell r="S1722">
            <v>15</v>
          </cell>
          <cell r="T1722">
            <v>3</v>
          </cell>
          <cell r="AB1722">
            <v>5009</v>
          </cell>
          <cell r="AC1722" t="str">
            <v>吉井川</v>
          </cell>
          <cell r="AD1722" t="str">
            <v>Ａ</v>
          </cell>
          <cell r="AE1722" t="str">
            <v>イ</v>
          </cell>
          <cell r="AF1722">
            <v>10</v>
          </cell>
          <cell r="AG1722">
            <v>10</v>
          </cell>
          <cell r="AH1722">
            <v>1</v>
          </cell>
          <cell r="AI1722" t="str">
            <v>吉野川</v>
          </cell>
          <cell r="AL1722" t="str">
            <v>美作浄水場取水口</v>
          </cell>
          <cell r="AM1722">
            <v>9</v>
          </cell>
          <cell r="AO1722" t="str">
            <v>美作市</v>
          </cell>
          <cell r="AQ1722" t="str">
            <v/>
          </cell>
          <cell r="AR1722" t="str">
            <v>オキシディションディッチ法</v>
          </cell>
          <cell r="AS1722" t="str">
            <v>3321502009</v>
          </cell>
          <cell r="AT1722" t="str">
            <v/>
          </cell>
          <cell r="AU1722" t="str">
            <v>10</v>
          </cell>
          <cell r="AV1722" t="str">
            <v>10</v>
          </cell>
          <cell r="AW1722">
            <v>0</v>
          </cell>
          <cell r="AX1722">
            <v>0</v>
          </cell>
          <cell r="AY1722">
            <v>0</v>
          </cell>
          <cell r="AZ1722">
            <v>0</v>
          </cell>
          <cell r="BA1722">
            <v>0</v>
          </cell>
          <cell r="BD1722" t="str">
            <v/>
          </cell>
          <cell r="BE1722">
            <v>1</v>
          </cell>
          <cell r="BG1722" t="str">
            <v>1100</v>
          </cell>
        </row>
        <row r="1723">
          <cell r="B1723" t="str">
            <v>G332150206101000</v>
          </cell>
          <cell r="C1723" t="str">
            <v>33.岡山県</v>
          </cell>
          <cell r="D1723" t="str">
            <v>215</v>
          </cell>
          <cell r="E1723" t="str">
            <v>美作市</v>
          </cell>
          <cell r="F1723" t="str">
            <v>02</v>
          </cell>
          <cell r="G1723" t="str">
            <v>特環 単独</v>
          </cell>
          <cell r="H1723" t="str">
            <v>特定環境保全公共下水道</v>
          </cell>
          <cell r="I1723" t="str">
            <v>単独</v>
          </cell>
          <cell r="J1723" t="str">
            <v>010</v>
          </cell>
          <cell r="K1723" t="str">
            <v>勝田浄化センター</v>
          </cell>
          <cell r="M1723" t="str">
            <v>1</v>
          </cell>
          <cell r="N1723" t="str">
            <v>1</v>
          </cell>
          <cell r="Q1723">
            <v>38534</v>
          </cell>
          <cell r="R1723" t="str">
            <v>平成</v>
          </cell>
          <cell r="S1723">
            <v>17</v>
          </cell>
          <cell r="T1723">
            <v>7</v>
          </cell>
          <cell r="AB1723">
            <v>6400</v>
          </cell>
          <cell r="AC1723" t="str">
            <v>吉井川</v>
          </cell>
          <cell r="AD1723" t="str">
            <v>Ａ</v>
          </cell>
          <cell r="AE1723" t="str">
            <v>イ</v>
          </cell>
          <cell r="AF1723">
            <v>15</v>
          </cell>
          <cell r="AG1723">
            <v>10</v>
          </cell>
          <cell r="AH1723">
            <v>1</v>
          </cell>
          <cell r="AI1723" t="str">
            <v>梶並川</v>
          </cell>
          <cell r="AL1723" t="str">
            <v>美作浄水場取水口</v>
          </cell>
          <cell r="AN1723">
            <v>6.9</v>
          </cell>
          <cell r="AO1723" t="str">
            <v>美作市</v>
          </cell>
          <cell r="AQ1723" t="str">
            <v/>
          </cell>
          <cell r="AR1723" t="str">
            <v>オキシディションディッチ法</v>
          </cell>
          <cell r="AS1723" t="str">
            <v>3321502010</v>
          </cell>
          <cell r="AT1723" t="str">
            <v/>
          </cell>
          <cell r="AU1723" t="str">
            <v>10</v>
          </cell>
          <cell r="AV1723" t="str">
            <v>10</v>
          </cell>
          <cell r="AW1723">
            <v>0</v>
          </cell>
          <cell r="AX1723">
            <v>0</v>
          </cell>
          <cell r="AY1723">
            <v>0</v>
          </cell>
          <cell r="AZ1723">
            <v>0</v>
          </cell>
          <cell r="BA1723">
            <v>0</v>
          </cell>
          <cell r="BD1723" t="str">
            <v/>
          </cell>
          <cell r="BE1723">
            <v>1</v>
          </cell>
          <cell r="BG1723" t="str">
            <v>1100</v>
          </cell>
        </row>
        <row r="1724">
          <cell r="B1724" t="str">
            <v>G332160106100100</v>
          </cell>
          <cell r="C1724" t="str">
            <v>33.岡山県</v>
          </cell>
          <cell r="D1724" t="str">
            <v>216</v>
          </cell>
          <cell r="E1724" t="str">
            <v>浅口市</v>
          </cell>
          <cell r="F1724" t="str">
            <v>01</v>
          </cell>
          <cell r="G1724" t="str">
            <v>公共 単独</v>
          </cell>
          <cell r="H1724" t="str">
            <v>公共下水道</v>
          </cell>
          <cell r="I1724" t="str">
            <v>単独</v>
          </cell>
          <cell r="J1724" t="str">
            <v>001</v>
          </cell>
          <cell r="K1724" t="str">
            <v>金光浄化センター</v>
          </cell>
          <cell r="M1724" t="str">
            <v>1</v>
          </cell>
          <cell r="N1724" t="str">
            <v>1</v>
          </cell>
          <cell r="Q1724">
            <v>36220</v>
          </cell>
          <cell r="R1724" t="str">
            <v>平成</v>
          </cell>
          <cell r="S1724">
            <v>11</v>
          </cell>
          <cell r="T1724">
            <v>3</v>
          </cell>
          <cell r="AB1724">
            <v>19000</v>
          </cell>
          <cell r="AC1724" t="str">
            <v>高梁川</v>
          </cell>
          <cell r="AD1724" t="str">
            <v>Ｄ</v>
          </cell>
          <cell r="AE1724" t="str">
            <v>イ</v>
          </cell>
          <cell r="AF1724">
            <v>15</v>
          </cell>
          <cell r="AJ1724" t="str">
            <v>里見川</v>
          </cell>
          <cell r="AQ1724" t="str">
            <v/>
          </cell>
          <cell r="AR1724" t="str">
            <v>オキシディションディッチ法</v>
          </cell>
          <cell r="AS1724" t="str">
            <v>3321601001</v>
          </cell>
          <cell r="AT1724" t="str">
            <v/>
          </cell>
          <cell r="AU1724" t="str">
            <v>10</v>
          </cell>
          <cell r="AV1724" t="str">
            <v>10</v>
          </cell>
          <cell r="AW1724">
            <v>0</v>
          </cell>
          <cell r="AX1724">
            <v>0</v>
          </cell>
          <cell r="AY1724">
            <v>0</v>
          </cell>
          <cell r="AZ1724">
            <v>0</v>
          </cell>
          <cell r="BA1724">
            <v>0</v>
          </cell>
          <cell r="BD1724" t="str">
            <v/>
          </cell>
          <cell r="BE1724">
            <v>1</v>
          </cell>
          <cell r="BG1724" t="str">
            <v>1100</v>
          </cell>
        </row>
        <row r="1725">
          <cell r="B1725" t="str">
            <v>G332160106100200</v>
          </cell>
          <cell r="C1725" t="str">
            <v>33.岡山県</v>
          </cell>
          <cell r="D1725" t="str">
            <v>216</v>
          </cell>
          <cell r="E1725" t="str">
            <v>浅口市</v>
          </cell>
          <cell r="F1725" t="str">
            <v>01</v>
          </cell>
          <cell r="G1725" t="str">
            <v>公共 単独</v>
          </cell>
          <cell r="H1725" t="str">
            <v>公共下水道</v>
          </cell>
          <cell r="I1725" t="str">
            <v>単独</v>
          </cell>
          <cell r="J1725" t="str">
            <v>002</v>
          </cell>
          <cell r="K1725" t="str">
            <v>鴨方浄化センター</v>
          </cell>
          <cell r="M1725" t="str">
            <v>1</v>
          </cell>
          <cell r="N1725" t="str">
            <v>1</v>
          </cell>
          <cell r="Q1725">
            <v>36586</v>
          </cell>
          <cell r="R1725" t="str">
            <v>平成</v>
          </cell>
          <cell r="S1725">
            <v>12</v>
          </cell>
          <cell r="T1725">
            <v>3</v>
          </cell>
          <cell r="AB1725">
            <v>20200</v>
          </cell>
          <cell r="AC1725" t="str">
            <v>高梁川</v>
          </cell>
          <cell r="AD1725" t="str">
            <v>Ｄ</v>
          </cell>
          <cell r="AE1725" t="str">
            <v>イ</v>
          </cell>
          <cell r="AF1725">
            <v>10</v>
          </cell>
          <cell r="AJ1725" t="str">
            <v>鴨方川</v>
          </cell>
          <cell r="AQ1725" t="str">
            <v/>
          </cell>
          <cell r="AR1725" t="str">
            <v>長時間エアレーション法</v>
          </cell>
          <cell r="AS1725" t="str">
            <v>3321601002</v>
          </cell>
          <cell r="AT1725" t="str">
            <v/>
          </cell>
          <cell r="AU1725" t="str">
            <v>10</v>
          </cell>
          <cell r="AV1725" t="str">
            <v>10</v>
          </cell>
          <cell r="AW1725">
            <v>0</v>
          </cell>
          <cell r="AX1725">
            <v>0</v>
          </cell>
          <cell r="AY1725">
            <v>0</v>
          </cell>
          <cell r="AZ1725">
            <v>0</v>
          </cell>
          <cell r="BA1725">
            <v>0</v>
          </cell>
          <cell r="BD1725" t="str">
            <v/>
          </cell>
          <cell r="BE1725">
            <v>1</v>
          </cell>
          <cell r="BG1725" t="str">
            <v>1100</v>
          </cell>
        </row>
        <row r="1726">
          <cell r="B1726" t="str">
            <v>G332160206100300</v>
          </cell>
          <cell r="C1726" t="str">
            <v>33.岡山県</v>
          </cell>
          <cell r="D1726" t="str">
            <v>216</v>
          </cell>
          <cell r="E1726" t="str">
            <v>浅口市</v>
          </cell>
          <cell r="F1726" t="str">
            <v>02</v>
          </cell>
          <cell r="G1726" t="str">
            <v>特環 単独</v>
          </cell>
          <cell r="H1726" t="str">
            <v>特定環境保全公共下水道</v>
          </cell>
          <cell r="I1726" t="str">
            <v>単独</v>
          </cell>
          <cell r="J1726" t="str">
            <v>003</v>
          </cell>
          <cell r="K1726" t="str">
            <v>寄島浄化センター</v>
          </cell>
          <cell r="M1726" t="str">
            <v>1</v>
          </cell>
          <cell r="N1726" t="str">
            <v>1</v>
          </cell>
          <cell r="P1726" t="str">
            <v>1</v>
          </cell>
          <cell r="Q1726">
            <v>35518</v>
          </cell>
          <cell r="R1726" t="str">
            <v>平成</v>
          </cell>
          <cell r="S1726">
            <v>9</v>
          </cell>
          <cell r="T1726">
            <v>3</v>
          </cell>
          <cell r="AB1726">
            <v>11000</v>
          </cell>
          <cell r="AC1726" t="str">
            <v>水島地先海域</v>
          </cell>
          <cell r="AD1726" t="str">
            <v>Ｂ</v>
          </cell>
          <cell r="AE1726" t="str">
            <v>イ</v>
          </cell>
          <cell r="AF1726">
            <v>15</v>
          </cell>
          <cell r="AI1726" t="str">
            <v>水島地先海域</v>
          </cell>
          <cell r="AQ1726" t="str">
            <v/>
          </cell>
          <cell r="AR1726" t="str">
            <v>オキシディションディッチ法</v>
          </cell>
          <cell r="AS1726" t="str">
            <v>3321602003</v>
          </cell>
          <cell r="AT1726" t="str">
            <v/>
          </cell>
          <cell r="AU1726" t="str">
            <v>10</v>
          </cell>
          <cell r="AV1726" t="str">
            <v>10</v>
          </cell>
          <cell r="AW1726">
            <v>1</v>
          </cell>
          <cell r="AX1726">
            <v>0</v>
          </cell>
          <cell r="AY1726">
            <v>0</v>
          </cell>
          <cell r="AZ1726">
            <v>0</v>
          </cell>
          <cell r="BA1726">
            <v>0</v>
          </cell>
          <cell r="BD1726" t="str">
            <v/>
          </cell>
          <cell r="BE1726">
            <v>1</v>
          </cell>
          <cell r="BG1726" t="str">
            <v>1101</v>
          </cell>
        </row>
        <row r="1727">
          <cell r="B1727" t="str">
            <v>G333460106100100</v>
          </cell>
          <cell r="C1727" t="str">
            <v>33.岡山県</v>
          </cell>
          <cell r="D1727" t="str">
            <v>346</v>
          </cell>
          <cell r="E1727" t="str">
            <v>和気町</v>
          </cell>
          <cell r="F1727" t="str">
            <v>01</v>
          </cell>
          <cell r="G1727" t="str">
            <v>公共 単独</v>
          </cell>
          <cell r="H1727" t="str">
            <v>公共下水道</v>
          </cell>
          <cell r="I1727" t="str">
            <v>単独</v>
          </cell>
          <cell r="J1727" t="str">
            <v>001</v>
          </cell>
          <cell r="K1727" t="str">
            <v>和気浄化センター</v>
          </cell>
          <cell r="M1727" t="str">
            <v>1</v>
          </cell>
          <cell r="N1727" t="str">
            <v>1</v>
          </cell>
          <cell r="Q1727">
            <v>32568</v>
          </cell>
          <cell r="R1727" t="str">
            <v>平成</v>
          </cell>
          <cell r="S1727">
            <v>1</v>
          </cell>
          <cell r="T1727">
            <v>3</v>
          </cell>
          <cell r="AB1727">
            <v>23800</v>
          </cell>
          <cell r="AC1727" t="str">
            <v>吉井川下流</v>
          </cell>
          <cell r="AD1727" t="str">
            <v>Ｂ</v>
          </cell>
          <cell r="AE1727" t="str">
            <v>ロ</v>
          </cell>
          <cell r="AF1727">
            <v>15</v>
          </cell>
          <cell r="AI1727" t="str">
            <v>福富川</v>
          </cell>
          <cell r="AK1727" t="str">
            <v>吉井川</v>
          </cell>
          <cell r="AL1727" t="str">
            <v>キリンビール工場</v>
          </cell>
          <cell r="AN1727">
            <v>6.5</v>
          </cell>
          <cell r="AQ1727" t="str">
            <v/>
          </cell>
          <cell r="AR1727" t="str">
            <v>オキシディションディッチ法</v>
          </cell>
          <cell r="AS1727" t="str">
            <v>3334601001</v>
          </cell>
          <cell r="AT1727" t="str">
            <v/>
          </cell>
          <cell r="AU1727" t="str">
            <v>10</v>
          </cell>
          <cell r="AV1727" t="str">
            <v>10</v>
          </cell>
          <cell r="AW1727">
            <v>0</v>
          </cell>
          <cell r="AX1727">
            <v>0</v>
          </cell>
          <cell r="AY1727">
            <v>0</v>
          </cell>
          <cell r="AZ1727">
            <v>0</v>
          </cell>
          <cell r="BA1727">
            <v>0</v>
          </cell>
          <cell r="BD1727" t="str">
            <v/>
          </cell>
          <cell r="BE1727">
            <v>1</v>
          </cell>
          <cell r="BG1727" t="str">
            <v>1100</v>
          </cell>
        </row>
        <row r="1728">
          <cell r="B1728" t="str">
            <v>G333460206100200</v>
          </cell>
          <cell r="C1728" t="str">
            <v>33.岡山県</v>
          </cell>
          <cell r="D1728" t="str">
            <v>346</v>
          </cell>
          <cell r="E1728" t="str">
            <v>和気町</v>
          </cell>
          <cell r="F1728" t="str">
            <v>02</v>
          </cell>
          <cell r="G1728" t="str">
            <v>特環 単独</v>
          </cell>
          <cell r="H1728" t="str">
            <v>特定環境保全公共下水道</v>
          </cell>
          <cell r="I1728" t="str">
            <v>単独</v>
          </cell>
          <cell r="J1728" t="str">
            <v>002</v>
          </cell>
          <cell r="K1728" t="str">
            <v>佐伯浄化センター</v>
          </cell>
          <cell r="M1728" t="str">
            <v>1</v>
          </cell>
          <cell r="N1728" t="str">
            <v>1</v>
          </cell>
          <cell r="Q1728">
            <v>33298</v>
          </cell>
          <cell r="R1728" t="str">
            <v>平成</v>
          </cell>
          <cell r="S1728">
            <v>3</v>
          </cell>
          <cell r="T1728">
            <v>3</v>
          </cell>
          <cell r="AB1728">
            <v>1969</v>
          </cell>
          <cell r="AC1728" t="str">
            <v>吉井川下流</v>
          </cell>
          <cell r="AD1728" t="str">
            <v>Ｂ</v>
          </cell>
          <cell r="AE1728" t="str">
            <v>ロ</v>
          </cell>
          <cell r="AF1728">
            <v>15</v>
          </cell>
          <cell r="AG1728">
            <v>20</v>
          </cell>
          <cell r="AH1728">
            <v>2</v>
          </cell>
          <cell r="AI1728" t="str">
            <v>王子川</v>
          </cell>
          <cell r="AK1728" t="str">
            <v>吉井川</v>
          </cell>
          <cell r="AL1728" t="str">
            <v>赤磐市</v>
          </cell>
          <cell r="AM1728">
            <v>16</v>
          </cell>
          <cell r="AQ1728" t="str">
            <v/>
          </cell>
          <cell r="AR1728" t="str">
            <v>オキシディションディッチ法</v>
          </cell>
          <cell r="AS1728" t="str">
            <v>3334602002</v>
          </cell>
          <cell r="AT1728" t="str">
            <v/>
          </cell>
          <cell r="AU1728" t="str">
            <v>10</v>
          </cell>
          <cell r="AV1728" t="str">
            <v>10</v>
          </cell>
          <cell r="AW1728">
            <v>0</v>
          </cell>
          <cell r="AX1728">
            <v>0</v>
          </cell>
          <cell r="AY1728">
            <v>0</v>
          </cell>
          <cell r="AZ1728">
            <v>0</v>
          </cell>
          <cell r="BA1728">
            <v>0</v>
          </cell>
          <cell r="BD1728" t="str">
            <v/>
          </cell>
          <cell r="BE1728">
            <v>1</v>
          </cell>
          <cell r="BG1728" t="str">
            <v>1100</v>
          </cell>
        </row>
        <row r="1729">
          <cell r="B1729" t="str">
            <v>G333460206100300</v>
          </cell>
          <cell r="C1729" t="str">
            <v>33.岡山県</v>
          </cell>
          <cell r="D1729" t="str">
            <v>346</v>
          </cell>
          <cell r="E1729" t="str">
            <v>和気町</v>
          </cell>
          <cell r="F1729" t="str">
            <v>02</v>
          </cell>
          <cell r="G1729" t="str">
            <v>特環 単独</v>
          </cell>
          <cell r="H1729" t="str">
            <v>特定環境保全公共下水道</v>
          </cell>
          <cell r="I1729" t="str">
            <v>単独</v>
          </cell>
          <cell r="J1729" t="str">
            <v>003</v>
          </cell>
          <cell r="K1729" t="str">
            <v>山田浄化センター</v>
          </cell>
          <cell r="M1729" t="str">
            <v>1</v>
          </cell>
          <cell r="N1729" t="str">
            <v>1</v>
          </cell>
          <cell r="Q1729">
            <v>36586</v>
          </cell>
          <cell r="R1729" t="str">
            <v>平成</v>
          </cell>
          <cell r="S1729">
            <v>12</v>
          </cell>
          <cell r="T1729">
            <v>3</v>
          </cell>
          <cell r="AB1729">
            <v>1210</v>
          </cell>
          <cell r="AC1729" t="str">
            <v>吉井川下流</v>
          </cell>
          <cell r="AD1729" t="str">
            <v>Ｂ</v>
          </cell>
          <cell r="AE1729" t="str">
            <v>ロ</v>
          </cell>
          <cell r="AF1729">
            <v>15</v>
          </cell>
          <cell r="AG1729">
            <v>20</v>
          </cell>
          <cell r="AH1729">
            <v>2</v>
          </cell>
          <cell r="AI1729" t="str">
            <v>田土川</v>
          </cell>
          <cell r="AK1729" t="str">
            <v>吉井川</v>
          </cell>
          <cell r="AL1729" t="str">
            <v>赤磐市</v>
          </cell>
          <cell r="AM1729">
            <v>18</v>
          </cell>
          <cell r="AQ1729" t="str">
            <v/>
          </cell>
          <cell r="AR1729" t="str">
            <v>オキシディションディッチ法</v>
          </cell>
          <cell r="AS1729" t="str">
            <v>3334602003</v>
          </cell>
          <cell r="AT1729" t="str">
            <v/>
          </cell>
          <cell r="AU1729" t="str">
            <v>10</v>
          </cell>
          <cell r="AV1729" t="str">
            <v>10</v>
          </cell>
          <cell r="AW1729">
            <v>0</v>
          </cell>
          <cell r="AX1729">
            <v>0</v>
          </cell>
          <cell r="AY1729">
            <v>0</v>
          </cell>
          <cell r="AZ1729">
            <v>0</v>
          </cell>
          <cell r="BA1729">
            <v>0</v>
          </cell>
          <cell r="BD1729" t="str">
            <v/>
          </cell>
          <cell r="BE1729">
            <v>1</v>
          </cell>
          <cell r="BG1729" t="str">
            <v>1100</v>
          </cell>
        </row>
        <row r="1730">
          <cell r="B1730" t="str">
            <v>G334610106100100</v>
          </cell>
          <cell r="C1730" t="str">
            <v>33.岡山県</v>
          </cell>
          <cell r="D1730" t="str">
            <v>461</v>
          </cell>
          <cell r="E1730" t="str">
            <v>矢掛町</v>
          </cell>
          <cell r="F1730" t="str">
            <v>01</v>
          </cell>
          <cell r="G1730" t="str">
            <v>公共 単独</v>
          </cell>
          <cell r="H1730" t="str">
            <v>公共下水道</v>
          </cell>
          <cell r="I1730" t="str">
            <v>単独</v>
          </cell>
          <cell r="J1730" t="str">
            <v>001</v>
          </cell>
          <cell r="K1730" t="str">
            <v>矢掛浄化センター</v>
          </cell>
          <cell r="M1730" t="str">
            <v>1</v>
          </cell>
          <cell r="N1730" t="str">
            <v>1</v>
          </cell>
          <cell r="O1730" t="str">
            <v>1</v>
          </cell>
          <cell r="Q1730">
            <v>36220</v>
          </cell>
          <cell r="R1730" t="str">
            <v>平成</v>
          </cell>
          <cell r="S1730">
            <v>11</v>
          </cell>
          <cell r="T1730">
            <v>3</v>
          </cell>
          <cell r="AB1730">
            <v>28648</v>
          </cell>
          <cell r="AC1730" t="str">
            <v>小田川</v>
          </cell>
          <cell r="AD1730" t="str">
            <v>Ｂ</v>
          </cell>
          <cell r="AE1730" t="str">
            <v>イ</v>
          </cell>
          <cell r="AF1730">
            <v>15</v>
          </cell>
          <cell r="AG1730">
            <v>10</v>
          </cell>
          <cell r="AH1730">
            <v>2</v>
          </cell>
          <cell r="AK1730" t="str">
            <v>小田川</v>
          </cell>
          <cell r="AQ1730" t="str">
            <v/>
          </cell>
          <cell r="AR1730" t="str">
            <v>オキシディションディッチ法</v>
          </cell>
          <cell r="AS1730" t="str">
            <v>3346101001</v>
          </cell>
          <cell r="AT1730" t="str">
            <v/>
          </cell>
          <cell r="AU1730" t="str">
            <v>11</v>
          </cell>
          <cell r="AV1730" t="str">
            <v>11</v>
          </cell>
          <cell r="AW1730">
            <v>0</v>
          </cell>
          <cell r="AX1730">
            <v>0</v>
          </cell>
          <cell r="AY1730">
            <v>0</v>
          </cell>
          <cell r="AZ1730">
            <v>0</v>
          </cell>
          <cell r="BA1730">
            <v>0</v>
          </cell>
          <cell r="BD1730" t="str">
            <v/>
          </cell>
          <cell r="BE1730">
            <v>1</v>
          </cell>
          <cell r="BG1730" t="str">
            <v>1110</v>
          </cell>
        </row>
        <row r="1731">
          <cell r="B1731" t="str">
            <v>G336060206100100</v>
          </cell>
          <cell r="C1731" t="str">
            <v>33.岡山県</v>
          </cell>
          <cell r="D1731" t="str">
            <v>606</v>
          </cell>
          <cell r="E1731" t="str">
            <v>鏡野町</v>
          </cell>
          <cell r="F1731" t="str">
            <v>02</v>
          </cell>
          <cell r="G1731" t="str">
            <v>特環 単独</v>
          </cell>
          <cell r="H1731" t="str">
            <v>特定環境保全公共下水道</v>
          </cell>
          <cell r="I1731" t="str">
            <v>単独</v>
          </cell>
          <cell r="J1731" t="str">
            <v>001</v>
          </cell>
          <cell r="K1731" t="str">
            <v>奥津浄化センター</v>
          </cell>
          <cell r="M1731" t="str">
            <v>1</v>
          </cell>
          <cell r="N1731" t="str">
            <v>1</v>
          </cell>
          <cell r="Q1731">
            <v>38807</v>
          </cell>
          <cell r="R1731" t="str">
            <v>平成</v>
          </cell>
          <cell r="S1731">
            <v>18</v>
          </cell>
          <cell r="T1731">
            <v>3</v>
          </cell>
          <cell r="AB1731">
            <v>1596</v>
          </cell>
          <cell r="AF1731">
            <v>15</v>
          </cell>
          <cell r="AG1731">
            <v>10</v>
          </cell>
          <cell r="AH1731">
            <v>1</v>
          </cell>
          <cell r="AK1731" t="str">
            <v>吉井川</v>
          </cell>
          <cell r="AQ1731" t="str">
            <v/>
          </cell>
          <cell r="AR1731" t="str">
            <v>その他処理方法</v>
          </cell>
          <cell r="AS1731" t="str">
            <v>3360602001</v>
          </cell>
          <cell r="AT1731" t="str">
            <v/>
          </cell>
          <cell r="AU1731" t="str">
            <v>10</v>
          </cell>
          <cell r="AV1731" t="str">
            <v>10</v>
          </cell>
          <cell r="AW1731">
            <v>0</v>
          </cell>
          <cell r="AX1731">
            <v>0</v>
          </cell>
          <cell r="AY1731">
            <v>0</v>
          </cell>
          <cell r="AZ1731">
            <v>0</v>
          </cell>
          <cell r="BA1731">
            <v>0</v>
          </cell>
          <cell r="BD1731" t="str">
            <v/>
          </cell>
          <cell r="BE1731">
            <v>1</v>
          </cell>
          <cell r="BG1731" t="str">
            <v>1100</v>
          </cell>
        </row>
        <row r="1732">
          <cell r="B1732" t="str">
            <v>G336220106100100</v>
          </cell>
          <cell r="C1732" t="str">
            <v>33.岡山県</v>
          </cell>
          <cell r="D1732" t="str">
            <v>622</v>
          </cell>
          <cell r="E1732" t="str">
            <v>勝央町</v>
          </cell>
          <cell r="F1732" t="str">
            <v>01</v>
          </cell>
          <cell r="G1732" t="str">
            <v>公共 単独</v>
          </cell>
          <cell r="H1732" t="str">
            <v>公共下水道</v>
          </cell>
          <cell r="I1732" t="str">
            <v>単独</v>
          </cell>
          <cell r="J1732" t="str">
            <v>001</v>
          </cell>
          <cell r="K1732" t="str">
            <v>勝央浄化センター</v>
          </cell>
          <cell r="M1732" t="str">
            <v>1</v>
          </cell>
          <cell r="N1732" t="str">
            <v>1</v>
          </cell>
          <cell r="O1732" t="str">
            <v>1</v>
          </cell>
          <cell r="Q1732">
            <v>29373</v>
          </cell>
          <cell r="R1732" t="str">
            <v>昭和</v>
          </cell>
          <cell r="S1732">
            <v>55</v>
          </cell>
          <cell r="T1732">
            <v>6</v>
          </cell>
          <cell r="AB1732">
            <v>24000</v>
          </cell>
          <cell r="AC1732" t="str">
            <v>滝川</v>
          </cell>
          <cell r="AD1732" t="str">
            <v>Ｂ</v>
          </cell>
          <cell r="AE1732" t="str">
            <v>ロ</v>
          </cell>
          <cell r="AF1732">
            <v>15</v>
          </cell>
          <cell r="AG1732">
            <v>10</v>
          </cell>
          <cell r="AH1732">
            <v>1</v>
          </cell>
          <cell r="AK1732" t="str">
            <v>滝川</v>
          </cell>
          <cell r="AL1732" t="str">
            <v>岡山県広域水道企業団</v>
          </cell>
          <cell r="AN1732">
            <v>52.2</v>
          </cell>
          <cell r="AO1732" t="str">
            <v>岡山市、赤磐市、他</v>
          </cell>
          <cell r="AQ1732" t="str">
            <v/>
          </cell>
          <cell r="AR1732" t="str">
            <v>循環式硝化脱窒法</v>
          </cell>
          <cell r="AS1732" t="str">
            <v>3362201001</v>
          </cell>
          <cell r="AT1732" t="str">
            <v/>
          </cell>
          <cell r="AU1732" t="str">
            <v>11</v>
          </cell>
          <cell r="AV1732" t="str">
            <v>11</v>
          </cell>
          <cell r="AW1732">
            <v>0</v>
          </cell>
          <cell r="AX1732">
            <v>0</v>
          </cell>
          <cell r="AY1732">
            <v>0</v>
          </cell>
          <cell r="AZ1732">
            <v>0</v>
          </cell>
          <cell r="BA1732">
            <v>0</v>
          </cell>
          <cell r="BD1732" t="str">
            <v/>
          </cell>
          <cell r="BE1732">
            <v>1</v>
          </cell>
          <cell r="BG1732" t="str">
            <v>1110</v>
          </cell>
        </row>
        <row r="1733">
          <cell r="B1733" t="str">
            <v>G336230206100100</v>
          </cell>
          <cell r="C1733" t="str">
            <v>33.岡山県</v>
          </cell>
          <cell r="D1733" t="str">
            <v>623</v>
          </cell>
          <cell r="E1733" t="str">
            <v>奈義町</v>
          </cell>
          <cell r="F1733" t="str">
            <v>02</v>
          </cell>
          <cell r="G1733" t="str">
            <v>特環 単独</v>
          </cell>
          <cell r="H1733" t="str">
            <v>特定環境保全公共下水道</v>
          </cell>
          <cell r="I1733" t="str">
            <v>単独</v>
          </cell>
          <cell r="J1733" t="str">
            <v>001</v>
          </cell>
          <cell r="K1733" t="str">
            <v>奈義中央浄化センター</v>
          </cell>
          <cell r="M1733" t="str">
            <v>1</v>
          </cell>
          <cell r="N1733" t="str">
            <v>1</v>
          </cell>
          <cell r="Q1733">
            <v>39142</v>
          </cell>
          <cell r="R1733" t="str">
            <v>平成</v>
          </cell>
          <cell r="S1733">
            <v>19</v>
          </cell>
          <cell r="T1733">
            <v>3</v>
          </cell>
          <cell r="AB1733">
            <v>12900</v>
          </cell>
          <cell r="AC1733" t="str">
            <v>滝川</v>
          </cell>
          <cell r="AD1733" t="str">
            <v>Ｂ</v>
          </cell>
          <cell r="AE1733" t="str">
            <v>ロ</v>
          </cell>
          <cell r="AF1733">
            <v>15</v>
          </cell>
          <cell r="AG1733">
            <v>20</v>
          </cell>
          <cell r="AH1733">
            <v>2</v>
          </cell>
          <cell r="AK1733" t="str">
            <v>1級河川　高殿川</v>
          </cell>
          <cell r="AQ1733" t="str">
            <v/>
          </cell>
          <cell r="AR1733" t="str">
            <v>オキシディションディッチ法</v>
          </cell>
          <cell r="AS1733" t="str">
            <v>3362302001</v>
          </cell>
          <cell r="AT1733" t="str">
            <v/>
          </cell>
          <cell r="AU1733" t="str">
            <v>10</v>
          </cell>
          <cell r="AV1733" t="str">
            <v>10</v>
          </cell>
          <cell r="AW1733">
            <v>0</v>
          </cell>
          <cell r="AX1733">
            <v>0</v>
          </cell>
          <cell r="AY1733">
            <v>0</v>
          </cell>
          <cell r="AZ1733">
            <v>0</v>
          </cell>
          <cell r="BA1733">
            <v>0</v>
          </cell>
          <cell r="BD1733" t="str">
            <v/>
          </cell>
          <cell r="BE1733">
            <v>1</v>
          </cell>
          <cell r="BG1733" t="str">
            <v>1100</v>
          </cell>
        </row>
        <row r="1734">
          <cell r="B1734" t="str">
            <v>G336630206100100</v>
          </cell>
          <cell r="C1734" t="str">
            <v>33.岡山県</v>
          </cell>
          <cell r="D1734" t="str">
            <v>663</v>
          </cell>
          <cell r="E1734" t="str">
            <v>久米南町</v>
          </cell>
          <cell r="F1734" t="str">
            <v>02</v>
          </cell>
          <cell r="G1734" t="str">
            <v>特環 単独</v>
          </cell>
          <cell r="H1734" t="str">
            <v>特定環境保全公共下水道</v>
          </cell>
          <cell r="I1734" t="str">
            <v>単独</v>
          </cell>
          <cell r="J1734" t="str">
            <v>001</v>
          </cell>
          <cell r="K1734" t="str">
            <v>久米南浄化センター</v>
          </cell>
          <cell r="M1734" t="str">
            <v>1</v>
          </cell>
          <cell r="N1734" t="str">
            <v>1</v>
          </cell>
          <cell r="P1734" t="str">
            <v>1</v>
          </cell>
          <cell r="Q1734">
            <v>38412</v>
          </cell>
          <cell r="R1734" t="str">
            <v>平成</v>
          </cell>
          <cell r="S1734">
            <v>17</v>
          </cell>
          <cell r="T1734">
            <v>3</v>
          </cell>
          <cell r="AB1734">
            <v>10063</v>
          </cell>
          <cell r="AC1734" t="str">
            <v>旭川</v>
          </cell>
          <cell r="AD1734" t="str">
            <v>Ａ</v>
          </cell>
          <cell r="AE1734" t="str">
            <v>イ</v>
          </cell>
          <cell r="AF1734">
            <v>10</v>
          </cell>
          <cell r="AG1734">
            <v>10</v>
          </cell>
          <cell r="AH1734">
            <v>1</v>
          </cell>
          <cell r="AI1734" t="str">
            <v>誕生寺川</v>
          </cell>
          <cell r="AK1734" t="str">
            <v>旭川</v>
          </cell>
          <cell r="AL1734" t="str">
            <v>神目第二</v>
          </cell>
          <cell r="AM1734">
            <v>1</v>
          </cell>
          <cell r="AO1734" t="str">
            <v>久米南町</v>
          </cell>
          <cell r="AQ1734" t="str">
            <v/>
          </cell>
          <cell r="AR1734" t="str">
            <v>高度処理オキシディションディッチ法</v>
          </cell>
          <cell r="AS1734" t="str">
            <v>3366302001</v>
          </cell>
          <cell r="AT1734" t="str">
            <v/>
          </cell>
          <cell r="AU1734" t="str">
            <v>10</v>
          </cell>
          <cell r="AV1734" t="str">
            <v>10</v>
          </cell>
          <cell r="AW1734">
            <v>1</v>
          </cell>
          <cell r="AX1734">
            <v>0</v>
          </cell>
          <cell r="AY1734">
            <v>0</v>
          </cell>
          <cell r="AZ1734">
            <v>0</v>
          </cell>
          <cell r="BA1734">
            <v>0</v>
          </cell>
          <cell r="BD1734" t="str">
            <v/>
          </cell>
          <cell r="BE1734">
            <v>1</v>
          </cell>
          <cell r="BG1734" t="str">
            <v>1101</v>
          </cell>
        </row>
        <row r="1735">
          <cell r="B1735" t="str">
            <v>G336660206100100</v>
          </cell>
          <cell r="C1735" t="str">
            <v>33.岡山県</v>
          </cell>
          <cell r="D1735" t="str">
            <v>666</v>
          </cell>
          <cell r="E1735" t="str">
            <v>美咲町</v>
          </cell>
          <cell r="F1735" t="str">
            <v>02</v>
          </cell>
          <cell r="G1735" t="str">
            <v>特環 単独</v>
          </cell>
          <cell r="H1735" t="str">
            <v>特定環境保全公共下水道</v>
          </cell>
          <cell r="I1735" t="str">
            <v>単独</v>
          </cell>
          <cell r="J1735" t="str">
            <v>001</v>
          </cell>
          <cell r="K1735" t="str">
            <v>柵原浄化センター</v>
          </cell>
          <cell r="M1735" t="str">
            <v>1</v>
          </cell>
          <cell r="N1735" t="str">
            <v>1</v>
          </cell>
          <cell r="Q1735">
            <v>40603</v>
          </cell>
          <cell r="R1735" t="str">
            <v>平成</v>
          </cell>
          <cell r="S1735">
            <v>23</v>
          </cell>
          <cell r="T1735">
            <v>3</v>
          </cell>
          <cell r="AB1735">
            <v>3638</v>
          </cell>
          <cell r="AC1735" t="str">
            <v>備讃瀬戸</v>
          </cell>
          <cell r="AD1735" t="str">
            <v>Ａ</v>
          </cell>
          <cell r="AE1735" t="str">
            <v>イ</v>
          </cell>
          <cell r="AF1735">
            <v>15</v>
          </cell>
          <cell r="AG1735">
            <v>10</v>
          </cell>
          <cell r="AH1735">
            <v>1</v>
          </cell>
          <cell r="AI1735" t="str">
            <v>牛谷川</v>
          </cell>
          <cell r="AK1735" t="str">
            <v>吉井川</v>
          </cell>
          <cell r="AQ1735" t="str">
            <v/>
          </cell>
          <cell r="AR1735" t="str">
            <v>その他処理方法</v>
          </cell>
          <cell r="AS1735" t="str">
            <v>3366602001</v>
          </cell>
          <cell r="AT1735" t="str">
            <v/>
          </cell>
          <cell r="AU1735" t="str">
            <v>10</v>
          </cell>
          <cell r="AV1735" t="str">
            <v>10</v>
          </cell>
          <cell r="AW1735">
            <v>0</v>
          </cell>
          <cell r="AX1735">
            <v>0</v>
          </cell>
          <cell r="AY1735">
            <v>0</v>
          </cell>
          <cell r="AZ1735">
            <v>0</v>
          </cell>
          <cell r="BA1735">
            <v>0</v>
          </cell>
          <cell r="BD1735" t="str">
            <v/>
          </cell>
          <cell r="BE1735">
            <v>1</v>
          </cell>
          <cell r="BG1735" t="str">
            <v>1100</v>
          </cell>
        </row>
        <row r="1736">
          <cell r="B1736" t="str">
            <v>G336810106100100</v>
          </cell>
          <cell r="C1736" t="str">
            <v>33.岡山県</v>
          </cell>
          <cell r="D1736" t="str">
            <v>681</v>
          </cell>
          <cell r="E1736" t="str">
            <v>吉備中央町</v>
          </cell>
          <cell r="F1736" t="str">
            <v>01</v>
          </cell>
          <cell r="G1736" t="str">
            <v>公共 単独</v>
          </cell>
          <cell r="H1736" t="str">
            <v>公共下水道</v>
          </cell>
          <cell r="I1736" t="str">
            <v>単独</v>
          </cell>
          <cell r="J1736" t="str">
            <v>001</v>
          </cell>
          <cell r="K1736" t="str">
            <v>吉備高原浄化センター</v>
          </cell>
          <cell r="M1736" t="str">
            <v>1</v>
          </cell>
          <cell r="N1736" t="str">
            <v>1</v>
          </cell>
          <cell r="Q1736">
            <v>31868</v>
          </cell>
          <cell r="R1736" t="str">
            <v>昭和</v>
          </cell>
          <cell r="S1736">
            <v>62</v>
          </cell>
          <cell r="T1736">
            <v>4</v>
          </cell>
          <cell r="AB1736">
            <v>12090</v>
          </cell>
          <cell r="AC1736" t="str">
            <v>旭川・吉井川</v>
          </cell>
          <cell r="AD1736" t="str">
            <v>設定なし</v>
          </cell>
          <cell r="AF1736">
            <v>10</v>
          </cell>
          <cell r="AI1736" t="str">
            <v>長坂川</v>
          </cell>
          <cell r="AJ1736" t="str">
            <v>宇甘川</v>
          </cell>
          <cell r="AK1736" t="str">
            <v>旭川</v>
          </cell>
          <cell r="AQ1736" t="str">
            <v/>
          </cell>
          <cell r="AR1736" t="str">
            <v>オキシディションディッチ法</v>
          </cell>
          <cell r="AS1736" t="str">
            <v>3368101001</v>
          </cell>
          <cell r="AT1736" t="str">
            <v/>
          </cell>
          <cell r="AU1736" t="str">
            <v>10</v>
          </cell>
          <cell r="AV1736" t="str">
            <v>10</v>
          </cell>
          <cell r="AW1736">
            <v>0</v>
          </cell>
          <cell r="AX1736">
            <v>0</v>
          </cell>
          <cell r="AY1736">
            <v>0</v>
          </cell>
          <cell r="AZ1736">
            <v>0</v>
          </cell>
          <cell r="BA1736">
            <v>0</v>
          </cell>
          <cell r="BD1736" t="str">
            <v/>
          </cell>
          <cell r="BE1736">
            <v>1</v>
          </cell>
          <cell r="BG1736" t="str">
            <v>1100</v>
          </cell>
        </row>
        <row r="1737">
          <cell r="B1737" t="str">
            <v>G338020206100100</v>
          </cell>
          <cell r="C1737" t="str">
            <v>33.岡山県</v>
          </cell>
          <cell r="D1737" t="str">
            <v>802</v>
          </cell>
          <cell r="E1737" t="str">
            <v>和気・赤磐共同ｺﾝﾎﾟｽﾄ事務組合</v>
          </cell>
          <cell r="F1737" t="str">
            <v>02</v>
          </cell>
          <cell r="G1737" t="str">
            <v>特環 単独</v>
          </cell>
          <cell r="H1737" t="str">
            <v>特定環境保全公共下水道</v>
          </cell>
          <cell r="I1737" t="str">
            <v>単独</v>
          </cell>
          <cell r="J1737" t="str">
            <v>001</v>
          </cell>
          <cell r="K1737" t="str">
            <v>和気・赤磐共同コンポストセンター</v>
          </cell>
          <cell r="Q1737">
            <v>36617</v>
          </cell>
          <cell r="R1737" t="str">
            <v>平成</v>
          </cell>
          <cell r="S1737">
            <v>12</v>
          </cell>
          <cell r="T1737">
            <v>4</v>
          </cell>
          <cell r="U1737" t="str">
            <v>廃止</v>
          </cell>
          <cell r="V1737">
            <v>40999</v>
          </cell>
          <cell r="W1737" t="str">
            <v>平成</v>
          </cell>
          <cell r="X1737">
            <v>24</v>
          </cell>
          <cell r="Y1737">
            <v>3</v>
          </cell>
          <cell r="AQ1737" t="str">
            <v>廃止</v>
          </cell>
          <cell r="AR1737" t="str">
            <v/>
          </cell>
          <cell r="AS1737" t="str">
            <v>3380202001</v>
          </cell>
          <cell r="AT1737">
            <v>1</v>
          </cell>
          <cell r="AU1737" t="str">
            <v>00</v>
          </cell>
          <cell r="AV1737" t="str">
            <v>00</v>
          </cell>
          <cell r="AW1737">
            <v>0</v>
          </cell>
          <cell r="AX1737">
            <v>0</v>
          </cell>
          <cell r="AY1737">
            <v>0</v>
          </cell>
          <cell r="AZ1737">
            <v>0</v>
          </cell>
          <cell r="BA1737">
            <v>0</v>
          </cell>
          <cell r="BD1737" t="str">
            <v/>
          </cell>
          <cell r="BE1737">
            <v>0</v>
          </cell>
          <cell r="BG1737">
            <v>9999</v>
          </cell>
        </row>
        <row r="1738">
          <cell r="B1738" t="str">
            <v>G340018106100100</v>
          </cell>
          <cell r="C1738" t="str">
            <v>34.広島県</v>
          </cell>
          <cell r="D1738" t="str">
            <v>001</v>
          </cell>
          <cell r="E1738" t="str">
            <v>太田川流域</v>
          </cell>
          <cell r="F1738" t="str">
            <v>81</v>
          </cell>
          <cell r="G1738" t="str">
            <v>流域</v>
          </cell>
          <cell r="H1738" t="str">
            <v>流域下水道</v>
          </cell>
          <cell r="I1738" t="str">
            <v/>
          </cell>
          <cell r="J1738" t="str">
            <v>001</v>
          </cell>
          <cell r="K1738" t="str">
            <v>東部浄化センター</v>
          </cell>
          <cell r="M1738" t="str">
            <v>1</v>
          </cell>
          <cell r="N1738" t="str">
            <v>1</v>
          </cell>
          <cell r="O1738" t="str">
            <v>1</v>
          </cell>
          <cell r="P1738" t="str">
            <v>1</v>
          </cell>
          <cell r="Q1738">
            <v>31321</v>
          </cell>
          <cell r="R1738" t="str">
            <v>昭和</v>
          </cell>
          <cell r="S1738">
            <v>60</v>
          </cell>
          <cell r="T1738">
            <v>10</v>
          </cell>
          <cell r="AB1738">
            <v>307000</v>
          </cell>
          <cell r="AC1738" t="str">
            <v>海田湾</v>
          </cell>
          <cell r="AD1738" t="str">
            <v>Ｂ</v>
          </cell>
          <cell r="AE1738" t="str">
            <v>イ</v>
          </cell>
          <cell r="AF1738">
            <v>6</v>
          </cell>
          <cell r="AG1738">
            <v>13</v>
          </cell>
          <cell r="AH1738">
            <v>0.8</v>
          </cell>
          <cell r="AI1738" t="str">
            <v>海田湾</v>
          </cell>
          <cell r="AQ1738" t="str">
            <v/>
          </cell>
          <cell r="AR1738" t="str">
            <v>標準活性汚泥法</v>
          </cell>
          <cell r="AS1738" t="str">
            <v>3400181001</v>
          </cell>
          <cell r="AT1738" t="str">
            <v/>
          </cell>
          <cell r="AU1738" t="str">
            <v>11</v>
          </cell>
          <cell r="AV1738" t="str">
            <v>11</v>
          </cell>
          <cell r="AW1738">
            <v>1</v>
          </cell>
          <cell r="AX1738">
            <v>0</v>
          </cell>
          <cell r="AY1738">
            <v>0</v>
          </cell>
          <cell r="AZ1738">
            <v>0</v>
          </cell>
          <cell r="BA1738">
            <v>0</v>
          </cell>
          <cell r="BD1738" t="str">
            <v/>
          </cell>
          <cell r="BE1738">
            <v>1</v>
          </cell>
          <cell r="BG1738" t="str">
            <v>1111</v>
          </cell>
        </row>
        <row r="1739">
          <cell r="B1739" t="str">
            <v>G340028106100100</v>
          </cell>
          <cell r="C1739" t="str">
            <v>34.広島県</v>
          </cell>
          <cell r="D1739" t="str">
            <v>002</v>
          </cell>
          <cell r="E1739" t="str">
            <v>芦田川流域</v>
          </cell>
          <cell r="F1739" t="str">
            <v>81</v>
          </cell>
          <cell r="G1739" t="str">
            <v>流域</v>
          </cell>
          <cell r="H1739" t="str">
            <v>流域下水道</v>
          </cell>
          <cell r="I1739" t="str">
            <v/>
          </cell>
          <cell r="J1739" t="str">
            <v>001</v>
          </cell>
          <cell r="K1739" t="str">
            <v>芦田川浄化センター</v>
          </cell>
          <cell r="M1739" t="str">
            <v>1</v>
          </cell>
          <cell r="N1739" t="str">
            <v>1</v>
          </cell>
          <cell r="P1739" t="str">
            <v>1</v>
          </cell>
          <cell r="Q1739">
            <v>30956</v>
          </cell>
          <cell r="R1739" t="str">
            <v>昭和</v>
          </cell>
          <cell r="S1739">
            <v>59</v>
          </cell>
          <cell r="T1739">
            <v>10</v>
          </cell>
          <cell r="AB1739">
            <v>286165</v>
          </cell>
          <cell r="AC1739" t="str">
            <v>備讃瀬戸</v>
          </cell>
          <cell r="AD1739" t="str">
            <v>Ｂ</v>
          </cell>
          <cell r="AE1739" t="str">
            <v>イ</v>
          </cell>
          <cell r="AF1739">
            <v>9</v>
          </cell>
          <cell r="AI1739" t="str">
            <v>福山港湾内</v>
          </cell>
          <cell r="AQ1739" t="str">
            <v/>
          </cell>
          <cell r="AR1739" t="str">
            <v>標準活性汚泥法</v>
          </cell>
          <cell r="AS1739" t="str">
            <v>3400281001</v>
          </cell>
          <cell r="AT1739" t="str">
            <v/>
          </cell>
          <cell r="AU1739" t="str">
            <v>10</v>
          </cell>
          <cell r="AV1739" t="str">
            <v>10</v>
          </cell>
          <cell r="AW1739">
            <v>1</v>
          </cell>
          <cell r="AX1739">
            <v>0</v>
          </cell>
          <cell r="AY1739">
            <v>0</v>
          </cell>
          <cell r="AZ1739">
            <v>0</v>
          </cell>
          <cell r="BA1739">
            <v>0</v>
          </cell>
          <cell r="BD1739" t="str">
            <v/>
          </cell>
          <cell r="BE1739">
            <v>1</v>
          </cell>
          <cell r="BG1739" t="str">
            <v>1101</v>
          </cell>
        </row>
        <row r="1740">
          <cell r="B1740" t="str">
            <v>G340038106100100</v>
          </cell>
          <cell r="C1740" t="str">
            <v>34.広島県</v>
          </cell>
          <cell r="D1740" t="str">
            <v>003</v>
          </cell>
          <cell r="E1740" t="str">
            <v>沼田川流域</v>
          </cell>
          <cell r="F1740" t="str">
            <v>81</v>
          </cell>
          <cell r="G1740" t="str">
            <v>流域</v>
          </cell>
          <cell r="H1740" t="str">
            <v>流域下水道</v>
          </cell>
          <cell r="I1740" t="str">
            <v/>
          </cell>
          <cell r="J1740" t="str">
            <v>001</v>
          </cell>
          <cell r="K1740" t="str">
            <v>沼田川浄化センター</v>
          </cell>
          <cell r="M1740" t="str">
            <v>1</v>
          </cell>
          <cell r="N1740" t="str">
            <v>1</v>
          </cell>
          <cell r="P1740" t="str">
            <v>1</v>
          </cell>
          <cell r="Q1740">
            <v>35125</v>
          </cell>
          <cell r="R1740" t="str">
            <v>平成</v>
          </cell>
          <cell r="S1740">
            <v>8</v>
          </cell>
          <cell r="T1740">
            <v>3</v>
          </cell>
          <cell r="AB1740">
            <v>66040</v>
          </cell>
          <cell r="AC1740" t="str">
            <v>燧灘北西部</v>
          </cell>
          <cell r="AD1740" t="str">
            <v>Ａ</v>
          </cell>
          <cell r="AE1740" t="str">
            <v>イ</v>
          </cell>
          <cell r="AF1740">
            <v>15</v>
          </cell>
          <cell r="AJ1740" t="str">
            <v>沼田川</v>
          </cell>
          <cell r="AL1740" t="str">
            <v>長谷水源地</v>
          </cell>
          <cell r="AM1740">
            <v>5.4</v>
          </cell>
          <cell r="AO1740" t="str">
            <v>三原市</v>
          </cell>
          <cell r="AQ1740" t="str">
            <v/>
          </cell>
          <cell r="AR1740" t="str">
            <v>標準活性汚泥法</v>
          </cell>
          <cell r="AS1740" t="str">
            <v>3400381001</v>
          </cell>
          <cell r="AT1740" t="str">
            <v/>
          </cell>
          <cell r="AU1740" t="str">
            <v>10</v>
          </cell>
          <cell r="AV1740" t="str">
            <v>10</v>
          </cell>
          <cell r="AW1740">
            <v>1</v>
          </cell>
          <cell r="AX1740">
            <v>0</v>
          </cell>
          <cell r="AY1740">
            <v>0</v>
          </cell>
          <cell r="AZ1740">
            <v>0</v>
          </cell>
          <cell r="BA1740">
            <v>0</v>
          </cell>
          <cell r="BD1740" t="str">
            <v/>
          </cell>
          <cell r="BE1740">
            <v>1</v>
          </cell>
          <cell r="BG1740" t="str">
            <v>1101</v>
          </cell>
        </row>
        <row r="1741">
          <cell r="B1741" t="str">
            <v>G341000106100100</v>
          </cell>
          <cell r="C1741" t="str">
            <v>34.広島県</v>
          </cell>
          <cell r="D1741" t="str">
            <v>100</v>
          </cell>
          <cell r="E1741" t="str">
            <v>広島市</v>
          </cell>
          <cell r="F1741" t="str">
            <v>01</v>
          </cell>
          <cell r="G1741" t="str">
            <v>公共 単独</v>
          </cell>
          <cell r="H1741" t="str">
            <v>公共下水道</v>
          </cell>
          <cell r="I1741" t="str">
            <v>単独</v>
          </cell>
          <cell r="J1741" t="str">
            <v>001</v>
          </cell>
          <cell r="K1741" t="str">
            <v>千田水資源再生センター</v>
          </cell>
          <cell r="M1741" t="str">
            <v>1</v>
          </cell>
          <cell r="N1741" t="str">
            <v>1</v>
          </cell>
          <cell r="Q1741">
            <v>22372</v>
          </cell>
          <cell r="R1741" t="str">
            <v>昭和</v>
          </cell>
          <cell r="S1741">
            <v>36</v>
          </cell>
          <cell r="T1741">
            <v>4</v>
          </cell>
          <cell r="AB1741">
            <v>86530</v>
          </cell>
          <cell r="AC1741" t="str">
            <v>京橋川</v>
          </cell>
          <cell r="AD1741" t="str">
            <v>Ａ</v>
          </cell>
          <cell r="AE1741" t="str">
            <v>イ</v>
          </cell>
          <cell r="AF1741">
            <v>15</v>
          </cell>
          <cell r="AK1741" t="str">
            <v>京橋川</v>
          </cell>
          <cell r="AL1741" t="str">
            <v>戸坂取水口</v>
          </cell>
          <cell r="AM1741">
            <v>6.3</v>
          </cell>
          <cell r="AO1741" t="str">
            <v>広島市</v>
          </cell>
          <cell r="AQ1741" t="str">
            <v/>
          </cell>
          <cell r="AR1741" t="str">
            <v>標準活性汚泥法</v>
          </cell>
          <cell r="AS1741" t="str">
            <v>3410001001</v>
          </cell>
          <cell r="AT1741" t="str">
            <v/>
          </cell>
          <cell r="AU1741" t="str">
            <v>10</v>
          </cell>
          <cell r="AV1741" t="str">
            <v>10</v>
          </cell>
          <cell r="AW1741">
            <v>0</v>
          </cell>
          <cell r="AX1741">
            <v>0</v>
          </cell>
          <cell r="AY1741">
            <v>0</v>
          </cell>
          <cell r="AZ1741">
            <v>0</v>
          </cell>
          <cell r="BA1741">
            <v>0</v>
          </cell>
          <cell r="BD1741" t="str">
            <v/>
          </cell>
          <cell r="BE1741">
            <v>1</v>
          </cell>
          <cell r="BG1741" t="str">
            <v>1100</v>
          </cell>
        </row>
        <row r="1742">
          <cell r="B1742" t="str">
            <v>G341000106100200</v>
          </cell>
          <cell r="C1742" t="str">
            <v>34.広島県</v>
          </cell>
          <cell r="D1742" t="str">
            <v>100</v>
          </cell>
          <cell r="E1742" t="str">
            <v>広島市</v>
          </cell>
          <cell r="F1742" t="str">
            <v>01</v>
          </cell>
          <cell r="G1742" t="str">
            <v>公共 単独</v>
          </cell>
          <cell r="H1742" t="str">
            <v>公共下水道</v>
          </cell>
          <cell r="I1742" t="str">
            <v>単独</v>
          </cell>
          <cell r="J1742" t="str">
            <v>002</v>
          </cell>
          <cell r="K1742" t="str">
            <v>江波水資源再生センター</v>
          </cell>
          <cell r="M1742" t="str">
            <v>1</v>
          </cell>
          <cell r="N1742" t="str">
            <v>1</v>
          </cell>
          <cell r="Q1742">
            <v>26390</v>
          </cell>
          <cell r="R1742" t="str">
            <v>昭和</v>
          </cell>
          <cell r="S1742">
            <v>47</v>
          </cell>
          <cell r="T1742">
            <v>4</v>
          </cell>
          <cell r="AB1742">
            <v>40200</v>
          </cell>
          <cell r="AC1742" t="str">
            <v>天満川（全域）</v>
          </cell>
          <cell r="AD1742" t="str">
            <v>Ａ</v>
          </cell>
          <cell r="AE1742" t="str">
            <v>イ</v>
          </cell>
          <cell r="AF1742">
            <v>15</v>
          </cell>
          <cell r="AH1742">
            <v>3</v>
          </cell>
          <cell r="AK1742" t="str">
            <v>天満川</v>
          </cell>
          <cell r="AL1742" t="str">
            <v>戸坂取水口</v>
          </cell>
          <cell r="AM1742">
            <v>8.5</v>
          </cell>
          <cell r="AO1742" t="str">
            <v>広島市</v>
          </cell>
          <cell r="AQ1742" t="str">
            <v/>
          </cell>
          <cell r="AR1742" t="str">
            <v>標準活性汚泥法</v>
          </cell>
          <cell r="AS1742" t="str">
            <v>3410001002</v>
          </cell>
          <cell r="AT1742" t="str">
            <v/>
          </cell>
          <cell r="AU1742" t="str">
            <v>10</v>
          </cell>
          <cell r="AV1742" t="str">
            <v>10</v>
          </cell>
          <cell r="AW1742">
            <v>0</v>
          </cell>
          <cell r="AX1742">
            <v>0</v>
          </cell>
          <cell r="AY1742">
            <v>0</v>
          </cell>
          <cell r="AZ1742">
            <v>0</v>
          </cell>
          <cell r="BA1742">
            <v>0</v>
          </cell>
          <cell r="BD1742" t="str">
            <v/>
          </cell>
          <cell r="BE1742">
            <v>1</v>
          </cell>
          <cell r="BG1742" t="str">
            <v>1100</v>
          </cell>
        </row>
        <row r="1743">
          <cell r="B1743" t="str">
            <v>G341000106100300</v>
          </cell>
          <cell r="C1743" t="str">
            <v>34.広島県</v>
          </cell>
          <cell r="D1743" t="str">
            <v>100</v>
          </cell>
          <cell r="E1743" t="str">
            <v>広島市</v>
          </cell>
          <cell r="F1743" t="str">
            <v>01</v>
          </cell>
          <cell r="G1743" t="str">
            <v>公共 単独</v>
          </cell>
          <cell r="H1743" t="str">
            <v>公共下水道</v>
          </cell>
          <cell r="I1743" t="str">
            <v>単独</v>
          </cell>
          <cell r="J1743" t="str">
            <v>003</v>
          </cell>
          <cell r="K1743" t="str">
            <v>旭町水資源再生センター</v>
          </cell>
          <cell r="M1743" t="str">
            <v>1</v>
          </cell>
          <cell r="N1743" t="str">
            <v>1</v>
          </cell>
          <cell r="Q1743">
            <v>28399</v>
          </cell>
          <cell r="R1743" t="str">
            <v>昭和</v>
          </cell>
          <cell r="S1743">
            <v>52</v>
          </cell>
          <cell r="T1743">
            <v>10</v>
          </cell>
          <cell r="AB1743">
            <v>16610</v>
          </cell>
          <cell r="AC1743" t="str">
            <v>海田湾</v>
          </cell>
          <cell r="AD1743" t="str">
            <v>Ｂ</v>
          </cell>
          <cell r="AE1743" t="str">
            <v>イ</v>
          </cell>
          <cell r="AF1743">
            <v>15</v>
          </cell>
          <cell r="AI1743" t="str">
            <v>海田湾</v>
          </cell>
          <cell r="AL1743" t="str">
            <v>戸坂取水口</v>
          </cell>
          <cell r="AM1743">
            <v>14.1</v>
          </cell>
          <cell r="AO1743" t="str">
            <v>広島市</v>
          </cell>
          <cell r="AQ1743" t="str">
            <v/>
          </cell>
          <cell r="AR1743" t="str">
            <v>標準活性汚泥法</v>
          </cell>
          <cell r="AS1743" t="str">
            <v>3410001003</v>
          </cell>
          <cell r="AT1743" t="str">
            <v/>
          </cell>
          <cell r="AU1743" t="str">
            <v>10</v>
          </cell>
          <cell r="AV1743" t="str">
            <v>10</v>
          </cell>
          <cell r="AW1743">
            <v>0</v>
          </cell>
          <cell r="AX1743">
            <v>0</v>
          </cell>
          <cell r="AY1743">
            <v>0</v>
          </cell>
          <cell r="AZ1743">
            <v>0</v>
          </cell>
          <cell r="BA1743">
            <v>0</v>
          </cell>
          <cell r="BD1743" t="str">
            <v/>
          </cell>
          <cell r="BE1743">
            <v>1</v>
          </cell>
          <cell r="BG1743" t="str">
            <v>1100</v>
          </cell>
        </row>
        <row r="1744">
          <cell r="B1744" t="str">
            <v>G341000106100400</v>
          </cell>
          <cell r="C1744" t="str">
            <v>34.広島県</v>
          </cell>
          <cell r="D1744" t="str">
            <v>100</v>
          </cell>
          <cell r="E1744" t="str">
            <v>広島市</v>
          </cell>
          <cell r="F1744" t="str">
            <v>01</v>
          </cell>
          <cell r="G1744" t="str">
            <v>公共 単独</v>
          </cell>
          <cell r="H1744" t="str">
            <v>公共下水道</v>
          </cell>
          <cell r="I1744" t="str">
            <v>単独</v>
          </cell>
          <cell r="J1744" t="str">
            <v>004</v>
          </cell>
          <cell r="K1744" t="str">
            <v>大州水資源再生センター</v>
          </cell>
          <cell r="Q1744">
            <v>29495</v>
          </cell>
          <cell r="R1744" t="str">
            <v>昭和</v>
          </cell>
          <cell r="S1744">
            <v>55</v>
          </cell>
          <cell r="T1744">
            <v>10</v>
          </cell>
          <cell r="U1744" t="str">
            <v>廃止</v>
          </cell>
          <cell r="V1744">
            <v>41000</v>
          </cell>
          <cell r="W1744" t="str">
            <v>平成</v>
          </cell>
          <cell r="X1744">
            <v>24</v>
          </cell>
          <cell r="Y1744">
            <v>4</v>
          </cell>
          <cell r="AQ1744" t="str">
            <v>廃止</v>
          </cell>
          <cell r="AR1744" t="str">
            <v/>
          </cell>
          <cell r="AS1744" t="str">
            <v>3410001004</v>
          </cell>
          <cell r="AT1744">
            <v>1</v>
          </cell>
          <cell r="AU1744" t="str">
            <v>00</v>
          </cell>
          <cell r="AV1744" t="str">
            <v>00</v>
          </cell>
          <cell r="AW1744">
            <v>0</v>
          </cell>
          <cell r="AX1744">
            <v>0</v>
          </cell>
          <cell r="AY1744">
            <v>0</v>
          </cell>
          <cell r="AZ1744">
            <v>0</v>
          </cell>
          <cell r="BA1744">
            <v>0</v>
          </cell>
          <cell r="BD1744" t="str">
            <v/>
          </cell>
          <cell r="BE1744">
            <v>0</v>
          </cell>
          <cell r="BG1744">
            <v>9999</v>
          </cell>
        </row>
        <row r="1745">
          <cell r="B1745" t="str">
            <v>G341000106100500</v>
          </cell>
          <cell r="C1745" t="str">
            <v>34.広島県</v>
          </cell>
          <cell r="D1745" t="str">
            <v>100</v>
          </cell>
          <cell r="E1745" t="str">
            <v>広島市</v>
          </cell>
          <cell r="F1745" t="str">
            <v>01</v>
          </cell>
          <cell r="G1745" t="str">
            <v>公共 単独</v>
          </cell>
          <cell r="H1745" t="str">
            <v>公共下水道</v>
          </cell>
          <cell r="I1745" t="str">
            <v>単独</v>
          </cell>
          <cell r="J1745" t="str">
            <v>005</v>
          </cell>
          <cell r="K1745" t="str">
            <v>西部水資源再生センター</v>
          </cell>
          <cell r="M1745" t="str">
            <v>1</v>
          </cell>
          <cell r="N1745" t="str">
            <v>1</v>
          </cell>
          <cell r="O1745" t="str">
            <v>1</v>
          </cell>
          <cell r="Q1745">
            <v>29860</v>
          </cell>
          <cell r="R1745" t="str">
            <v>昭和</v>
          </cell>
          <cell r="S1745">
            <v>56</v>
          </cell>
          <cell r="T1745">
            <v>10</v>
          </cell>
          <cell r="AB1745">
            <v>171771</v>
          </cell>
          <cell r="AC1745" t="str">
            <v>広島市地先海域</v>
          </cell>
          <cell r="AD1745" t="str">
            <v>Ａ</v>
          </cell>
          <cell r="AE1745" t="str">
            <v>ロ</v>
          </cell>
          <cell r="AF1745">
            <v>15</v>
          </cell>
          <cell r="AH1745">
            <v>1.4</v>
          </cell>
          <cell r="AI1745" t="str">
            <v>広島湾</v>
          </cell>
          <cell r="AL1745" t="str">
            <v>戸坂取水場</v>
          </cell>
          <cell r="AM1745">
            <v>12.8</v>
          </cell>
          <cell r="AO1745" t="str">
            <v>広島市</v>
          </cell>
          <cell r="AQ1745" t="str">
            <v/>
          </cell>
          <cell r="AR1745" t="str">
            <v>標準活性汚泥法</v>
          </cell>
          <cell r="AS1745" t="str">
            <v>3410001005</v>
          </cell>
          <cell r="AT1745" t="str">
            <v/>
          </cell>
          <cell r="AU1745" t="str">
            <v>11</v>
          </cell>
          <cell r="AV1745" t="str">
            <v>11</v>
          </cell>
          <cell r="AW1745">
            <v>0</v>
          </cell>
          <cell r="AX1745">
            <v>0</v>
          </cell>
          <cell r="AY1745">
            <v>0</v>
          </cell>
          <cell r="AZ1745">
            <v>0</v>
          </cell>
          <cell r="BA1745">
            <v>0</v>
          </cell>
          <cell r="BD1745" t="str">
            <v/>
          </cell>
          <cell r="BE1745">
            <v>1</v>
          </cell>
          <cell r="BG1745" t="str">
            <v>1110</v>
          </cell>
        </row>
        <row r="1746">
          <cell r="B1746" t="str">
            <v>G341000206100600</v>
          </cell>
          <cell r="C1746" t="str">
            <v>34.広島県</v>
          </cell>
          <cell r="D1746" t="str">
            <v>100</v>
          </cell>
          <cell r="E1746" t="str">
            <v>広島市</v>
          </cell>
          <cell r="F1746" t="str">
            <v>02</v>
          </cell>
          <cell r="G1746" t="str">
            <v>特環 単独</v>
          </cell>
          <cell r="H1746" t="str">
            <v>特定環境保全公共下水道</v>
          </cell>
          <cell r="I1746" t="str">
            <v>単独</v>
          </cell>
          <cell r="J1746" t="str">
            <v>006</v>
          </cell>
          <cell r="K1746" t="str">
            <v>和田水資源再生センター</v>
          </cell>
          <cell r="M1746" t="str">
            <v>1</v>
          </cell>
          <cell r="N1746" t="str">
            <v>1</v>
          </cell>
          <cell r="Q1746">
            <v>37347</v>
          </cell>
          <cell r="R1746" t="str">
            <v>平成</v>
          </cell>
          <cell r="S1746">
            <v>14</v>
          </cell>
          <cell r="T1746">
            <v>4</v>
          </cell>
          <cell r="AB1746">
            <v>2909</v>
          </cell>
          <cell r="AC1746" t="str">
            <v>水内川</v>
          </cell>
          <cell r="AD1746" t="str">
            <v>Ａ</v>
          </cell>
          <cell r="AE1746" t="str">
            <v>イ</v>
          </cell>
          <cell r="AI1746" t="str">
            <v>上道原川</v>
          </cell>
          <cell r="AK1746" t="str">
            <v>太田川</v>
          </cell>
          <cell r="AL1746" t="str">
            <v>湯来水道ステーション</v>
          </cell>
          <cell r="AM1746">
            <v>4</v>
          </cell>
          <cell r="AO1746" t="str">
            <v>広島市</v>
          </cell>
          <cell r="AQ1746" t="str">
            <v/>
          </cell>
          <cell r="AR1746" t="str">
            <v>長時間エアレーション法</v>
          </cell>
          <cell r="AS1746" t="str">
            <v>3410002006</v>
          </cell>
          <cell r="AT1746" t="str">
            <v/>
          </cell>
          <cell r="AU1746" t="str">
            <v>10</v>
          </cell>
          <cell r="AV1746" t="str">
            <v>10</v>
          </cell>
          <cell r="AW1746">
            <v>0</v>
          </cell>
          <cell r="AX1746">
            <v>0</v>
          </cell>
          <cell r="AY1746">
            <v>0</v>
          </cell>
          <cell r="AZ1746">
            <v>0</v>
          </cell>
          <cell r="BA1746">
            <v>0</v>
          </cell>
          <cell r="BD1746" t="str">
            <v/>
          </cell>
          <cell r="BE1746">
            <v>1</v>
          </cell>
          <cell r="BG1746" t="str">
            <v>1100</v>
          </cell>
        </row>
        <row r="1747">
          <cell r="B1747" t="str">
            <v>G342020106100100</v>
          </cell>
          <cell r="C1747" t="str">
            <v>34.広島県</v>
          </cell>
          <cell r="D1747" t="str">
            <v>202</v>
          </cell>
          <cell r="E1747" t="str">
            <v>呉市</v>
          </cell>
          <cell r="F1747" t="str">
            <v>01</v>
          </cell>
          <cell r="G1747" t="str">
            <v>公共 単独</v>
          </cell>
          <cell r="H1747" t="str">
            <v>公共下水道</v>
          </cell>
          <cell r="I1747" t="str">
            <v>単独</v>
          </cell>
          <cell r="J1747" t="str">
            <v>001</v>
          </cell>
          <cell r="K1747" t="str">
            <v>新宮浄化センター</v>
          </cell>
          <cell r="M1747" t="str">
            <v>1</v>
          </cell>
          <cell r="N1747" t="str">
            <v>1</v>
          </cell>
          <cell r="Q1747">
            <v>25263</v>
          </cell>
          <cell r="R1747" t="str">
            <v>昭和</v>
          </cell>
          <cell r="S1747">
            <v>44</v>
          </cell>
          <cell r="T1747">
            <v>3</v>
          </cell>
          <cell r="AB1747">
            <v>30960</v>
          </cell>
          <cell r="AC1747" t="str">
            <v>呉地先海域</v>
          </cell>
          <cell r="AD1747" t="str">
            <v>Ａ</v>
          </cell>
          <cell r="AE1747" t="str">
            <v>イ</v>
          </cell>
          <cell r="AF1747">
            <v>15</v>
          </cell>
          <cell r="AI1747" t="str">
            <v>呉地先海域</v>
          </cell>
          <cell r="AQ1747" t="str">
            <v/>
          </cell>
          <cell r="AR1747" t="str">
            <v>標準活性汚泥法</v>
          </cell>
          <cell r="AS1747" t="str">
            <v>3420201001</v>
          </cell>
          <cell r="AT1747" t="str">
            <v/>
          </cell>
          <cell r="AU1747" t="str">
            <v>10</v>
          </cell>
          <cell r="AV1747" t="str">
            <v>10</v>
          </cell>
          <cell r="AW1747">
            <v>0</v>
          </cell>
          <cell r="AX1747">
            <v>0</v>
          </cell>
          <cell r="AY1747">
            <v>0</v>
          </cell>
          <cell r="AZ1747">
            <v>0</v>
          </cell>
          <cell r="BA1747">
            <v>0</v>
          </cell>
          <cell r="BD1747" t="str">
            <v/>
          </cell>
          <cell r="BE1747">
            <v>1</v>
          </cell>
          <cell r="BG1747" t="str">
            <v>1100</v>
          </cell>
        </row>
        <row r="1748">
          <cell r="B1748" t="str">
            <v>G342020106100200</v>
          </cell>
          <cell r="C1748" t="str">
            <v>34.広島県</v>
          </cell>
          <cell r="D1748" t="str">
            <v>202</v>
          </cell>
          <cell r="E1748" t="str">
            <v>呉市</v>
          </cell>
          <cell r="F1748" t="str">
            <v>01</v>
          </cell>
          <cell r="G1748" t="str">
            <v>公共 単独</v>
          </cell>
          <cell r="H1748" t="str">
            <v>公共下水道</v>
          </cell>
          <cell r="I1748" t="str">
            <v>単独</v>
          </cell>
          <cell r="J1748" t="str">
            <v>002</v>
          </cell>
          <cell r="K1748" t="str">
            <v>広浄化センター</v>
          </cell>
          <cell r="M1748" t="str">
            <v>1</v>
          </cell>
          <cell r="N1748" t="str">
            <v>1</v>
          </cell>
          <cell r="P1748" t="str">
            <v>1</v>
          </cell>
          <cell r="Q1748">
            <v>27120</v>
          </cell>
          <cell r="R1748" t="str">
            <v>昭和</v>
          </cell>
          <cell r="S1748">
            <v>49</v>
          </cell>
          <cell r="T1748">
            <v>4</v>
          </cell>
          <cell r="AB1748">
            <v>23000</v>
          </cell>
          <cell r="AC1748" t="str">
            <v>呉地先海域</v>
          </cell>
          <cell r="AD1748" t="str">
            <v>Ｂ</v>
          </cell>
          <cell r="AE1748" t="str">
            <v>イ</v>
          </cell>
          <cell r="AF1748">
            <v>15</v>
          </cell>
          <cell r="AI1748" t="str">
            <v>呉地先海域</v>
          </cell>
          <cell r="AQ1748" t="str">
            <v/>
          </cell>
          <cell r="AR1748" t="str">
            <v>標準活性汚泥法</v>
          </cell>
          <cell r="AS1748" t="str">
            <v>3420201002</v>
          </cell>
          <cell r="AT1748" t="str">
            <v/>
          </cell>
          <cell r="AU1748" t="str">
            <v>10</v>
          </cell>
          <cell r="AV1748" t="str">
            <v>10</v>
          </cell>
          <cell r="AW1748">
            <v>1</v>
          </cell>
          <cell r="AX1748">
            <v>0</v>
          </cell>
          <cell r="AY1748">
            <v>0</v>
          </cell>
          <cell r="AZ1748">
            <v>0</v>
          </cell>
          <cell r="BA1748">
            <v>0</v>
          </cell>
          <cell r="BD1748" t="str">
            <v/>
          </cell>
          <cell r="BE1748">
            <v>1</v>
          </cell>
          <cell r="BG1748" t="str">
            <v>1101</v>
          </cell>
        </row>
        <row r="1749">
          <cell r="B1749" t="str">
            <v>G342020106100300</v>
          </cell>
          <cell r="C1749" t="str">
            <v>34.広島県</v>
          </cell>
          <cell r="D1749" t="str">
            <v>202</v>
          </cell>
          <cell r="E1749" t="str">
            <v>呉市</v>
          </cell>
          <cell r="F1749" t="str">
            <v>01</v>
          </cell>
          <cell r="G1749" t="str">
            <v>公共 単独</v>
          </cell>
          <cell r="H1749" t="str">
            <v>公共下水道</v>
          </cell>
          <cell r="I1749" t="str">
            <v>単独</v>
          </cell>
          <cell r="J1749" t="str">
            <v>003</v>
          </cell>
          <cell r="K1749" t="str">
            <v>川尻浄化センター</v>
          </cell>
          <cell r="M1749" t="str">
            <v>1</v>
          </cell>
          <cell r="N1749" t="str">
            <v>1</v>
          </cell>
          <cell r="Q1749">
            <v>33298</v>
          </cell>
          <cell r="R1749" t="str">
            <v>平成</v>
          </cell>
          <cell r="S1749">
            <v>3</v>
          </cell>
          <cell r="T1749">
            <v>3</v>
          </cell>
          <cell r="AB1749">
            <v>16400</v>
          </cell>
          <cell r="AC1749" t="str">
            <v>安芸津・安浦地先海域</v>
          </cell>
          <cell r="AD1749" t="str">
            <v>Ａ</v>
          </cell>
          <cell r="AE1749" t="str">
            <v>イ</v>
          </cell>
          <cell r="AF1749">
            <v>15</v>
          </cell>
          <cell r="AI1749" t="str">
            <v>安芸津・安浦地先海域</v>
          </cell>
          <cell r="AQ1749" t="str">
            <v/>
          </cell>
          <cell r="AR1749" t="str">
            <v>標準活性汚泥法</v>
          </cell>
          <cell r="AS1749" t="str">
            <v>3420201003</v>
          </cell>
          <cell r="AT1749" t="str">
            <v/>
          </cell>
          <cell r="AU1749" t="str">
            <v>10</v>
          </cell>
          <cell r="AV1749" t="str">
            <v>10</v>
          </cell>
          <cell r="AW1749">
            <v>0</v>
          </cell>
          <cell r="AX1749">
            <v>0</v>
          </cell>
          <cell r="AY1749">
            <v>0</v>
          </cell>
          <cell r="AZ1749">
            <v>0</v>
          </cell>
          <cell r="BA1749">
            <v>0</v>
          </cell>
          <cell r="BD1749" t="str">
            <v/>
          </cell>
          <cell r="BE1749">
            <v>1</v>
          </cell>
          <cell r="BG1749" t="str">
            <v>1100</v>
          </cell>
        </row>
        <row r="1750">
          <cell r="B1750" t="str">
            <v>G342020106100400</v>
          </cell>
          <cell r="C1750" t="str">
            <v>34.広島県</v>
          </cell>
          <cell r="D1750" t="str">
            <v>202</v>
          </cell>
          <cell r="E1750" t="str">
            <v>呉市</v>
          </cell>
          <cell r="F1750" t="str">
            <v>01</v>
          </cell>
          <cell r="G1750" t="str">
            <v>公共 単独</v>
          </cell>
          <cell r="H1750" t="str">
            <v>公共下水道</v>
          </cell>
          <cell r="I1750" t="str">
            <v>単独</v>
          </cell>
          <cell r="J1750" t="str">
            <v>004</v>
          </cell>
          <cell r="K1750" t="str">
            <v>天応浄化センター</v>
          </cell>
          <cell r="M1750" t="str">
            <v>1</v>
          </cell>
          <cell r="N1750" t="str">
            <v>1</v>
          </cell>
          <cell r="Q1750">
            <v>34425</v>
          </cell>
          <cell r="R1750" t="str">
            <v>平成</v>
          </cell>
          <cell r="S1750">
            <v>6</v>
          </cell>
          <cell r="T1750">
            <v>4</v>
          </cell>
          <cell r="AB1750">
            <v>16000</v>
          </cell>
          <cell r="AC1750" t="str">
            <v>呉地先海域</v>
          </cell>
          <cell r="AD1750" t="str">
            <v>Ａ</v>
          </cell>
          <cell r="AE1750" t="str">
            <v>イ</v>
          </cell>
          <cell r="AF1750">
            <v>15</v>
          </cell>
          <cell r="AI1750" t="str">
            <v>呉地先海域</v>
          </cell>
          <cell r="AQ1750" t="str">
            <v/>
          </cell>
          <cell r="AR1750" t="str">
            <v>標準活性汚泥法</v>
          </cell>
          <cell r="AS1750" t="str">
            <v>3420201004</v>
          </cell>
          <cell r="AT1750" t="str">
            <v/>
          </cell>
          <cell r="AU1750" t="str">
            <v>10</v>
          </cell>
          <cell r="AV1750" t="str">
            <v>10</v>
          </cell>
          <cell r="AW1750">
            <v>0</v>
          </cell>
          <cell r="AX1750">
            <v>0</v>
          </cell>
          <cell r="AY1750">
            <v>0</v>
          </cell>
          <cell r="AZ1750">
            <v>0</v>
          </cell>
          <cell r="BA1750">
            <v>0</v>
          </cell>
          <cell r="BD1750" t="str">
            <v/>
          </cell>
          <cell r="BE1750">
            <v>1</v>
          </cell>
          <cell r="BG1750" t="str">
            <v>1100</v>
          </cell>
        </row>
        <row r="1751">
          <cell r="B1751" t="str">
            <v>G342020106100500</v>
          </cell>
          <cell r="C1751" t="str">
            <v>34.広島県</v>
          </cell>
          <cell r="D1751" t="str">
            <v>202</v>
          </cell>
          <cell r="E1751" t="str">
            <v>呉市</v>
          </cell>
          <cell r="F1751" t="str">
            <v>01</v>
          </cell>
          <cell r="G1751" t="str">
            <v>公共 単独</v>
          </cell>
          <cell r="H1751" t="str">
            <v>公共下水道</v>
          </cell>
          <cell r="I1751" t="str">
            <v>単独</v>
          </cell>
          <cell r="J1751" t="str">
            <v>005</v>
          </cell>
          <cell r="K1751" t="str">
            <v>安浦浄化センター</v>
          </cell>
          <cell r="M1751" t="str">
            <v>1</v>
          </cell>
          <cell r="N1751" t="str">
            <v>1</v>
          </cell>
          <cell r="Q1751">
            <v>35521</v>
          </cell>
          <cell r="R1751" t="str">
            <v>平成</v>
          </cell>
          <cell r="S1751">
            <v>9</v>
          </cell>
          <cell r="T1751">
            <v>4</v>
          </cell>
          <cell r="AB1751">
            <v>27100</v>
          </cell>
          <cell r="AC1751" t="str">
            <v>野呂川</v>
          </cell>
          <cell r="AD1751" t="str">
            <v>Ｂ</v>
          </cell>
          <cell r="AE1751" t="str">
            <v>イ</v>
          </cell>
          <cell r="AF1751">
            <v>15</v>
          </cell>
          <cell r="AJ1751" t="str">
            <v>野呂川</v>
          </cell>
          <cell r="AQ1751" t="str">
            <v/>
          </cell>
          <cell r="AR1751" t="str">
            <v>オキシディションディッチ法</v>
          </cell>
          <cell r="AS1751" t="str">
            <v>3420201005</v>
          </cell>
          <cell r="AT1751" t="str">
            <v/>
          </cell>
          <cell r="AU1751" t="str">
            <v>10</v>
          </cell>
          <cell r="AV1751" t="str">
            <v>10</v>
          </cell>
          <cell r="AW1751">
            <v>0</v>
          </cell>
          <cell r="AX1751">
            <v>0</v>
          </cell>
          <cell r="AY1751">
            <v>0</v>
          </cell>
          <cell r="AZ1751">
            <v>0</v>
          </cell>
          <cell r="BA1751">
            <v>0</v>
          </cell>
          <cell r="BD1751" t="str">
            <v/>
          </cell>
          <cell r="BE1751">
            <v>1</v>
          </cell>
          <cell r="BG1751" t="str">
            <v>1100</v>
          </cell>
        </row>
        <row r="1752">
          <cell r="B1752" t="str">
            <v>G342020206100600</v>
          </cell>
          <cell r="C1752" t="str">
            <v>34.広島県</v>
          </cell>
          <cell r="D1752" t="str">
            <v>202</v>
          </cell>
          <cell r="E1752" t="str">
            <v>呉市</v>
          </cell>
          <cell r="F1752" t="str">
            <v>02</v>
          </cell>
          <cell r="G1752" t="str">
            <v>特環 単独</v>
          </cell>
          <cell r="H1752" t="str">
            <v>特定環境保全公共下水道</v>
          </cell>
          <cell r="I1752" t="str">
            <v>単独</v>
          </cell>
          <cell r="J1752" t="str">
            <v>006</v>
          </cell>
          <cell r="K1752" t="str">
            <v>赤石浄化センター</v>
          </cell>
          <cell r="M1752" t="str">
            <v>1</v>
          </cell>
          <cell r="N1752" t="str">
            <v>1</v>
          </cell>
          <cell r="Q1752">
            <v>36982</v>
          </cell>
          <cell r="R1752" t="str">
            <v>平成</v>
          </cell>
          <cell r="S1752">
            <v>13</v>
          </cell>
          <cell r="T1752">
            <v>4</v>
          </cell>
          <cell r="AB1752">
            <v>6500</v>
          </cell>
          <cell r="AC1752" t="str">
            <v>安芸津安浦地先海域</v>
          </cell>
          <cell r="AD1752" t="str">
            <v>Ａ</v>
          </cell>
          <cell r="AE1752" t="str">
            <v>イ</v>
          </cell>
          <cell r="AF1752">
            <v>15</v>
          </cell>
          <cell r="AI1752" t="str">
            <v>安芸津・安浦地先海域</v>
          </cell>
          <cell r="AQ1752" t="str">
            <v/>
          </cell>
          <cell r="AR1752" t="str">
            <v>オキシディションディッチ法</v>
          </cell>
          <cell r="AS1752" t="str">
            <v>3420202006</v>
          </cell>
          <cell r="AT1752" t="str">
            <v/>
          </cell>
          <cell r="AU1752" t="str">
            <v>10</v>
          </cell>
          <cell r="AV1752" t="str">
            <v>10</v>
          </cell>
          <cell r="AW1752">
            <v>0</v>
          </cell>
          <cell r="AX1752">
            <v>0</v>
          </cell>
          <cell r="AY1752">
            <v>0</v>
          </cell>
          <cell r="AZ1752">
            <v>0</v>
          </cell>
          <cell r="BA1752">
            <v>0</v>
          </cell>
          <cell r="BD1752" t="str">
            <v/>
          </cell>
          <cell r="BE1752">
            <v>1</v>
          </cell>
          <cell r="BG1752" t="str">
            <v>1100</v>
          </cell>
        </row>
        <row r="1753">
          <cell r="B1753" t="str">
            <v>G342020206100700</v>
          </cell>
          <cell r="C1753" t="str">
            <v>34.広島県</v>
          </cell>
          <cell r="D1753" t="str">
            <v>202</v>
          </cell>
          <cell r="E1753" t="str">
            <v>呉市</v>
          </cell>
          <cell r="F1753" t="str">
            <v>02</v>
          </cell>
          <cell r="G1753" t="str">
            <v>特環 単独</v>
          </cell>
          <cell r="H1753" t="str">
            <v>特定環境保全公共下水道</v>
          </cell>
          <cell r="I1753" t="str">
            <v>単独</v>
          </cell>
          <cell r="J1753" t="str">
            <v>007</v>
          </cell>
          <cell r="K1753" t="str">
            <v>本浦浄化センター</v>
          </cell>
          <cell r="M1753" t="str">
            <v>1</v>
          </cell>
          <cell r="N1753" t="str">
            <v>1</v>
          </cell>
          <cell r="Q1753">
            <v>37712</v>
          </cell>
          <cell r="R1753" t="str">
            <v>平成</v>
          </cell>
          <cell r="S1753">
            <v>15</v>
          </cell>
          <cell r="T1753">
            <v>4</v>
          </cell>
          <cell r="AB1753">
            <v>3120</v>
          </cell>
          <cell r="AC1753" t="str">
            <v>呉地先海域</v>
          </cell>
          <cell r="AD1753" t="str">
            <v>Ａ</v>
          </cell>
          <cell r="AE1753" t="str">
            <v>イ</v>
          </cell>
          <cell r="AF1753">
            <v>15</v>
          </cell>
          <cell r="AI1753" t="str">
            <v>呉地先海域</v>
          </cell>
          <cell r="AQ1753" t="str">
            <v/>
          </cell>
          <cell r="AR1753" t="str">
            <v>オキシディションディッチ法</v>
          </cell>
          <cell r="AS1753" t="str">
            <v>3420202007</v>
          </cell>
          <cell r="AT1753" t="str">
            <v/>
          </cell>
          <cell r="AU1753" t="str">
            <v>10</v>
          </cell>
          <cell r="AV1753" t="str">
            <v>10</v>
          </cell>
          <cell r="AW1753">
            <v>0</v>
          </cell>
          <cell r="AX1753">
            <v>0</v>
          </cell>
          <cell r="AY1753">
            <v>0</v>
          </cell>
          <cell r="AZ1753">
            <v>0</v>
          </cell>
          <cell r="BA1753">
            <v>0</v>
          </cell>
          <cell r="BD1753" t="str">
            <v/>
          </cell>
          <cell r="BE1753">
            <v>1</v>
          </cell>
          <cell r="BG1753" t="str">
            <v>1100</v>
          </cell>
        </row>
        <row r="1754">
          <cell r="B1754" t="str">
            <v>G342020206100800</v>
          </cell>
          <cell r="C1754" t="str">
            <v>34.広島県</v>
          </cell>
          <cell r="D1754" t="str">
            <v>202</v>
          </cell>
          <cell r="E1754" t="str">
            <v>呉市</v>
          </cell>
          <cell r="F1754" t="str">
            <v>02</v>
          </cell>
          <cell r="G1754" t="str">
            <v>特環 単独</v>
          </cell>
          <cell r="H1754" t="str">
            <v>特定環境保全公共下水道</v>
          </cell>
          <cell r="I1754" t="str">
            <v>単独</v>
          </cell>
          <cell r="J1754" t="str">
            <v>008</v>
          </cell>
          <cell r="K1754" t="str">
            <v>音戸北部浄化センター</v>
          </cell>
          <cell r="M1754" t="str">
            <v>1</v>
          </cell>
          <cell r="Q1754">
            <v>39904</v>
          </cell>
          <cell r="R1754" t="str">
            <v>平成</v>
          </cell>
          <cell r="S1754">
            <v>21</v>
          </cell>
          <cell r="T1754">
            <v>4</v>
          </cell>
          <cell r="AB1754">
            <v>12300</v>
          </cell>
          <cell r="AC1754" t="str">
            <v>呉地先海域</v>
          </cell>
          <cell r="AD1754" t="str">
            <v>Ａ</v>
          </cell>
          <cell r="AE1754" t="str">
            <v>イ</v>
          </cell>
          <cell r="AF1754">
            <v>15</v>
          </cell>
          <cell r="AI1754" t="str">
            <v>呉地先海域</v>
          </cell>
          <cell r="AQ1754" t="str">
            <v/>
          </cell>
          <cell r="AR1754" t="str">
            <v>オキシディションディッチ法</v>
          </cell>
          <cell r="AS1754" t="str">
            <v>3420202008</v>
          </cell>
          <cell r="AT1754" t="str">
            <v/>
          </cell>
          <cell r="AU1754" t="str">
            <v>00</v>
          </cell>
          <cell r="AV1754" t="str">
            <v>00</v>
          </cell>
          <cell r="AW1754">
            <v>0</v>
          </cell>
          <cell r="AX1754">
            <v>0</v>
          </cell>
          <cell r="AY1754">
            <v>0</v>
          </cell>
          <cell r="AZ1754">
            <v>0</v>
          </cell>
          <cell r="BA1754">
            <v>0</v>
          </cell>
          <cell r="BD1754" t="str">
            <v/>
          </cell>
          <cell r="BE1754">
            <v>1</v>
          </cell>
          <cell r="BG1754" t="str">
            <v>1000</v>
          </cell>
        </row>
        <row r="1755">
          <cell r="B1755" t="str">
            <v>G342030106100100</v>
          </cell>
          <cell r="C1755" t="str">
            <v>34.広島県</v>
          </cell>
          <cell r="D1755" t="str">
            <v>203</v>
          </cell>
          <cell r="E1755" t="str">
            <v>竹原市</v>
          </cell>
          <cell r="F1755" t="str">
            <v>01</v>
          </cell>
          <cell r="G1755" t="str">
            <v>公共 単独</v>
          </cell>
          <cell r="H1755" t="str">
            <v>公共下水道</v>
          </cell>
          <cell r="I1755" t="str">
            <v>単独</v>
          </cell>
          <cell r="J1755" t="str">
            <v>001</v>
          </cell>
          <cell r="K1755" t="str">
            <v>竹原浄化センター</v>
          </cell>
          <cell r="M1755" t="str">
            <v>1</v>
          </cell>
          <cell r="N1755" t="str">
            <v>1</v>
          </cell>
          <cell r="Q1755">
            <v>38930</v>
          </cell>
          <cell r="R1755" t="str">
            <v>平成</v>
          </cell>
          <cell r="S1755">
            <v>18</v>
          </cell>
          <cell r="T1755">
            <v>8</v>
          </cell>
          <cell r="AB1755">
            <v>30688</v>
          </cell>
          <cell r="AC1755" t="str">
            <v>燧灘北西部</v>
          </cell>
          <cell r="AD1755" t="str">
            <v>Ａ</v>
          </cell>
          <cell r="AE1755" t="str">
            <v>イ</v>
          </cell>
          <cell r="AF1755">
            <v>15</v>
          </cell>
          <cell r="AG1755">
            <v>20</v>
          </cell>
          <cell r="AH1755">
            <v>2.2999999999999998</v>
          </cell>
          <cell r="AI1755" t="str">
            <v>燧灘北西部</v>
          </cell>
          <cell r="AM1755">
            <v>3</v>
          </cell>
          <cell r="AQ1755" t="str">
            <v/>
          </cell>
          <cell r="AR1755" t="str">
            <v>ステップ流入式多段硝化脱窒法</v>
          </cell>
          <cell r="AS1755" t="str">
            <v>3420301001</v>
          </cell>
          <cell r="AT1755" t="str">
            <v/>
          </cell>
          <cell r="AU1755" t="str">
            <v>10</v>
          </cell>
          <cell r="AV1755" t="str">
            <v>10</v>
          </cell>
          <cell r="AW1755">
            <v>0</v>
          </cell>
          <cell r="AX1755">
            <v>0</v>
          </cell>
          <cell r="AY1755">
            <v>0</v>
          </cell>
          <cell r="AZ1755">
            <v>0</v>
          </cell>
          <cell r="BA1755">
            <v>0</v>
          </cell>
          <cell r="BD1755" t="str">
            <v/>
          </cell>
          <cell r="BE1755">
            <v>1</v>
          </cell>
          <cell r="BG1755" t="str">
            <v>1100</v>
          </cell>
        </row>
        <row r="1756">
          <cell r="B1756" t="str">
            <v>G342040206100100</v>
          </cell>
          <cell r="C1756" t="str">
            <v>34.広島県</v>
          </cell>
          <cell r="D1756" t="str">
            <v>204</v>
          </cell>
          <cell r="E1756" t="str">
            <v>三原市</v>
          </cell>
          <cell r="F1756" t="str">
            <v>02</v>
          </cell>
          <cell r="G1756" t="str">
            <v>特環 単独</v>
          </cell>
          <cell r="H1756" t="str">
            <v>特定環境保全公共下水道</v>
          </cell>
          <cell r="I1756" t="str">
            <v>単独</v>
          </cell>
          <cell r="J1756" t="str">
            <v>001</v>
          </cell>
          <cell r="K1756" t="str">
            <v>和木浄化センター</v>
          </cell>
          <cell r="M1756" t="str">
            <v>1</v>
          </cell>
          <cell r="N1756" t="str">
            <v>1</v>
          </cell>
          <cell r="Q1756">
            <v>35156</v>
          </cell>
          <cell r="R1756" t="str">
            <v>平成</v>
          </cell>
          <cell r="S1756">
            <v>8</v>
          </cell>
          <cell r="T1756">
            <v>4</v>
          </cell>
          <cell r="AB1756">
            <v>2493</v>
          </cell>
          <cell r="AC1756" t="str">
            <v>椋梨川</v>
          </cell>
          <cell r="AD1756" t="str">
            <v>Ａ</v>
          </cell>
          <cell r="AE1756" t="str">
            <v>イ</v>
          </cell>
          <cell r="AF1756">
            <v>2.2999999999999998</v>
          </cell>
          <cell r="AG1756">
            <v>3.5</v>
          </cell>
          <cell r="AH1756">
            <v>1.24</v>
          </cell>
          <cell r="AI1756" t="str">
            <v>椋梨川</v>
          </cell>
          <cell r="AJ1756" t="str">
            <v>大草川</v>
          </cell>
          <cell r="AQ1756" t="str">
            <v/>
          </cell>
          <cell r="AR1756" t="str">
            <v>オキシディションディッチ法</v>
          </cell>
          <cell r="AS1756" t="str">
            <v>3420402001</v>
          </cell>
          <cell r="AT1756" t="str">
            <v/>
          </cell>
          <cell r="AU1756" t="str">
            <v>10</v>
          </cell>
          <cell r="AV1756" t="str">
            <v>10</v>
          </cell>
          <cell r="AW1756">
            <v>0</v>
          </cell>
          <cell r="AX1756">
            <v>0</v>
          </cell>
          <cell r="AY1756">
            <v>0</v>
          </cell>
          <cell r="AZ1756">
            <v>0</v>
          </cell>
          <cell r="BA1756">
            <v>0</v>
          </cell>
          <cell r="BD1756" t="str">
            <v/>
          </cell>
          <cell r="BE1756">
            <v>1</v>
          </cell>
          <cell r="BG1756" t="str">
            <v>1100</v>
          </cell>
        </row>
        <row r="1757">
          <cell r="B1757" t="str">
            <v>G342050106100100</v>
          </cell>
          <cell r="C1757" t="str">
            <v>34.広島県</v>
          </cell>
          <cell r="D1757" t="str">
            <v>205</v>
          </cell>
          <cell r="E1757" t="str">
            <v>尾道市</v>
          </cell>
          <cell r="F1757" t="str">
            <v>01</v>
          </cell>
          <cell r="G1757" t="str">
            <v>公共 単独</v>
          </cell>
          <cell r="H1757" t="str">
            <v>公共下水道</v>
          </cell>
          <cell r="I1757" t="str">
            <v>単独</v>
          </cell>
          <cell r="J1757" t="str">
            <v>001</v>
          </cell>
          <cell r="K1757" t="str">
            <v>尾道市浄化センター</v>
          </cell>
          <cell r="M1757" t="str">
            <v>1</v>
          </cell>
          <cell r="N1757" t="str">
            <v>1</v>
          </cell>
          <cell r="Q1757">
            <v>32599</v>
          </cell>
          <cell r="R1757" t="str">
            <v>平成</v>
          </cell>
          <cell r="S1757">
            <v>1</v>
          </cell>
          <cell r="T1757">
            <v>4</v>
          </cell>
          <cell r="AB1757">
            <v>75300</v>
          </cell>
          <cell r="AC1757" t="str">
            <v>燧灘北西部</v>
          </cell>
          <cell r="AD1757" t="str">
            <v>Ａ</v>
          </cell>
          <cell r="AE1757" t="str">
            <v>イ</v>
          </cell>
          <cell r="AF1757">
            <v>15</v>
          </cell>
          <cell r="AG1757">
            <v>20</v>
          </cell>
          <cell r="AH1757">
            <v>2</v>
          </cell>
          <cell r="AI1757" t="str">
            <v>燧灘北西部</v>
          </cell>
          <cell r="AQ1757" t="str">
            <v/>
          </cell>
          <cell r="AR1757" t="str">
            <v>標準活性汚泥法</v>
          </cell>
          <cell r="AS1757" t="str">
            <v>3420501001</v>
          </cell>
          <cell r="AT1757" t="str">
            <v/>
          </cell>
          <cell r="AU1757" t="str">
            <v>10</v>
          </cell>
          <cell r="AV1757" t="str">
            <v>10</v>
          </cell>
          <cell r="AW1757">
            <v>0</v>
          </cell>
          <cell r="AX1757">
            <v>0</v>
          </cell>
          <cell r="AY1757">
            <v>0</v>
          </cell>
          <cell r="AZ1757">
            <v>0</v>
          </cell>
          <cell r="BA1757">
            <v>0</v>
          </cell>
          <cell r="BD1757" t="str">
            <v/>
          </cell>
          <cell r="BE1757">
            <v>1</v>
          </cell>
          <cell r="BG1757" t="str">
            <v>1100</v>
          </cell>
        </row>
        <row r="1758">
          <cell r="B1758" t="str">
            <v>G342050206100200</v>
          </cell>
          <cell r="C1758" t="str">
            <v>34.広島県</v>
          </cell>
          <cell r="D1758" t="str">
            <v>205</v>
          </cell>
          <cell r="E1758" t="str">
            <v>尾道市</v>
          </cell>
          <cell r="F1758" t="str">
            <v>02</v>
          </cell>
          <cell r="G1758" t="str">
            <v>特環 単独</v>
          </cell>
          <cell r="H1758" t="str">
            <v>特定環境保全公共下水道</v>
          </cell>
          <cell r="I1758" t="str">
            <v>単独</v>
          </cell>
          <cell r="J1758" t="str">
            <v>002</v>
          </cell>
          <cell r="K1758" t="str">
            <v>尾道市御調町中央浄化センター</v>
          </cell>
          <cell r="M1758" t="str">
            <v>1</v>
          </cell>
          <cell r="N1758" t="str">
            <v>1</v>
          </cell>
          <cell r="Q1758">
            <v>34394</v>
          </cell>
          <cell r="R1758" t="str">
            <v>平成</v>
          </cell>
          <cell r="S1758">
            <v>6</v>
          </cell>
          <cell r="T1758">
            <v>3</v>
          </cell>
          <cell r="AB1758">
            <v>3900</v>
          </cell>
          <cell r="AC1758" t="str">
            <v>芦田川</v>
          </cell>
          <cell r="AD1758" t="str">
            <v>Ａ</v>
          </cell>
          <cell r="AE1758" t="str">
            <v>イ</v>
          </cell>
          <cell r="AF1758">
            <v>15</v>
          </cell>
          <cell r="AG1758">
            <v>25</v>
          </cell>
          <cell r="AH1758">
            <v>3</v>
          </cell>
          <cell r="AK1758" t="str">
            <v>御調川</v>
          </cell>
          <cell r="AL1758" t="str">
            <v>実蔵坊取水口</v>
          </cell>
          <cell r="AN1758">
            <v>13</v>
          </cell>
          <cell r="AO1758" t="str">
            <v>府中市</v>
          </cell>
          <cell r="AQ1758" t="str">
            <v/>
          </cell>
          <cell r="AR1758" t="str">
            <v>オキシディションディッチ法</v>
          </cell>
          <cell r="AS1758" t="str">
            <v>3420502002</v>
          </cell>
          <cell r="AT1758" t="str">
            <v/>
          </cell>
          <cell r="AU1758" t="str">
            <v>10</v>
          </cell>
          <cell r="AV1758" t="str">
            <v>10</v>
          </cell>
          <cell r="AW1758">
            <v>0</v>
          </cell>
          <cell r="AX1758">
            <v>0</v>
          </cell>
          <cell r="AY1758">
            <v>0</v>
          </cell>
          <cell r="AZ1758">
            <v>0</v>
          </cell>
          <cell r="BA1758">
            <v>0</v>
          </cell>
          <cell r="BD1758" t="str">
            <v/>
          </cell>
          <cell r="BE1758">
            <v>1</v>
          </cell>
          <cell r="BG1758" t="str">
            <v>1100</v>
          </cell>
        </row>
        <row r="1759">
          <cell r="B1759" t="str">
            <v>G342050206100300</v>
          </cell>
          <cell r="C1759" t="str">
            <v>34.広島県</v>
          </cell>
          <cell r="D1759" t="str">
            <v>205</v>
          </cell>
          <cell r="E1759" t="str">
            <v>尾道市</v>
          </cell>
          <cell r="F1759" t="str">
            <v>02</v>
          </cell>
          <cell r="G1759" t="str">
            <v>特環 単独</v>
          </cell>
          <cell r="H1759" t="str">
            <v>特定環境保全公共下水道</v>
          </cell>
          <cell r="I1759" t="str">
            <v>単独</v>
          </cell>
          <cell r="J1759" t="str">
            <v>003</v>
          </cell>
          <cell r="K1759" t="str">
            <v>尾道市御調町東部浄化センター</v>
          </cell>
          <cell r="M1759" t="str">
            <v>1</v>
          </cell>
          <cell r="N1759" t="str">
            <v>1</v>
          </cell>
          <cell r="Q1759">
            <v>36951</v>
          </cell>
          <cell r="R1759" t="str">
            <v>平成</v>
          </cell>
          <cell r="S1759">
            <v>13</v>
          </cell>
          <cell r="T1759">
            <v>3</v>
          </cell>
          <cell r="AB1759">
            <v>3200</v>
          </cell>
          <cell r="AC1759" t="str">
            <v>芦田川</v>
          </cell>
          <cell r="AD1759" t="str">
            <v>Ａ</v>
          </cell>
          <cell r="AE1759" t="str">
            <v>イ</v>
          </cell>
          <cell r="AF1759">
            <v>15</v>
          </cell>
          <cell r="AG1759">
            <v>25</v>
          </cell>
          <cell r="AH1759">
            <v>3</v>
          </cell>
          <cell r="AK1759" t="str">
            <v>御調川</v>
          </cell>
          <cell r="AL1759" t="str">
            <v>実蔵坊取水口</v>
          </cell>
          <cell r="AN1759">
            <v>9</v>
          </cell>
          <cell r="AO1759" t="str">
            <v>府中市</v>
          </cell>
          <cell r="AQ1759" t="str">
            <v/>
          </cell>
          <cell r="AR1759" t="str">
            <v>オキシディションディッチ法</v>
          </cell>
          <cell r="AS1759" t="str">
            <v>3420502003</v>
          </cell>
          <cell r="AT1759" t="str">
            <v/>
          </cell>
          <cell r="AU1759" t="str">
            <v>10</v>
          </cell>
          <cell r="AV1759" t="str">
            <v>10</v>
          </cell>
          <cell r="AW1759">
            <v>0</v>
          </cell>
          <cell r="AX1759">
            <v>0</v>
          </cell>
          <cell r="AY1759">
            <v>0</v>
          </cell>
          <cell r="AZ1759">
            <v>0</v>
          </cell>
          <cell r="BA1759">
            <v>0</v>
          </cell>
          <cell r="BD1759" t="str">
            <v/>
          </cell>
          <cell r="BE1759">
            <v>1</v>
          </cell>
          <cell r="BG1759" t="str">
            <v>1100</v>
          </cell>
        </row>
        <row r="1760">
          <cell r="B1760" t="str">
            <v>G342070106100100</v>
          </cell>
          <cell r="C1760" t="str">
            <v>34.広島県</v>
          </cell>
          <cell r="D1760" t="str">
            <v>207</v>
          </cell>
          <cell r="E1760" t="str">
            <v>福山市</v>
          </cell>
          <cell r="F1760" t="str">
            <v>01</v>
          </cell>
          <cell r="G1760" t="str">
            <v>公共 単独</v>
          </cell>
          <cell r="H1760" t="str">
            <v>公共下水道</v>
          </cell>
          <cell r="I1760" t="str">
            <v>単独</v>
          </cell>
          <cell r="J1760" t="str">
            <v>001</v>
          </cell>
          <cell r="K1760" t="str">
            <v>新浜浄化センター</v>
          </cell>
          <cell r="M1760" t="str">
            <v>1</v>
          </cell>
          <cell r="N1760" t="str">
            <v>1</v>
          </cell>
          <cell r="Q1760">
            <v>24351</v>
          </cell>
          <cell r="R1760" t="str">
            <v>昭和</v>
          </cell>
          <cell r="S1760">
            <v>41</v>
          </cell>
          <cell r="T1760">
            <v>9</v>
          </cell>
          <cell r="AB1760">
            <v>22243</v>
          </cell>
          <cell r="AC1760" t="str">
            <v>箕島町地先海域</v>
          </cell>
          <cell r="AD1760" t="str">
            <v>Ｂ</v>
          </cell>
          <cell r="AE1760" t="str">
            <v>イ</v>
          </cell>
          <cell r="AF1760">
            <v>15</v>
          </cell>
          <cell r="AI1760" t="str">
            <v>福山港（箕島地先海域）</v>
          </cell>
          <cell r="AQ1760" t="str">
            <v/>
          </cell>
          <cell r="AR1760" t="str">
            <v>標準活性汚泥法</v>
          </cell>
          <cell r="AS1760" t="str">
            <v>3420701001</v>
          </cell>
          <cell r="AT1760" t="str">
            <v/>
          </cell>
          <cell r="AU1760" t="str">
            <v>10</v>
          </cell>
          <cell r="AV1760" t="str">
            <v>10</v>
          </cell>
          <cell r="AW1760">
            <v>0</v>
          </cell>
          <cell r="AX1760">
            <v>0</v>
          </cell>
          <cell r="AY1760">
            <v>0</v>
          </cell>
          <cell r="AZ1760">
            <v>0</v>
          </cell>
          <cell r="BA1760">
            <v>0</v>
          </cell>
          <cell r="BD1760" t="str">
            <v/>
          </cell>
          <cell r="BE1760">
            <v>1</v>
          </cell>
          <cell r="BG1760" t="str">
            <v>1100</v>
          </cell>
        </row>
        <row r="1761">
          <cell r="B1761" t="str">
            <v>G342070106100200</v>
          </cell>
          <cell r="C1761" t="str">
            <v>34.広島県</v>
          </cell>
          <cell r="D1761" t="str">
            <v>207</v>
          </cell>
          <cell r="E1761" t="str">
            <v>福山市</v>
          </cell>
          <cell r="F1761" t="str">
            <v>01</v>
          </cell>
          <cell r="G1761" t="str">
            <v>公共 単独</v>
          </cell>
          <cell r="H1761" t="str">
            <v>公共下水道</v>
          </cell>
          <cell r="I1761" t="str">
            <v>単独</v>
          </cell>
          <cell r="J1761" t="str">
            <v>002</v>
          </cell>
          <cell r="K1761" t="str">
            <v>松永浄化センター</v>
          </cell>
          <cell r="M1761" t="str">
            <v>1</v>
          </cell>
          <cell r="N1761" t="str">
            <v>1</v>
          </cell>
          <cell r="Q1761">
            <v>33695</v>
          </cell>
          <cell r="R1761" t="str">
            <v>平成</v>
          </cell>
          <cell r="S1761">
            <v>4</v>
          </cell>
          <cell r="T1761">
            <v>4</v>
          </cell>
          <cell r="AB1761">
            <v>75580</v>
          </cell>
          <cell r="AC1761" t="str">
            <v>燧灘北西部水域</v>
          </cell>
          <cell r="AD1761" t="str">
            <v>Ａ</v>
          </cell>
          <cell r="AE1761" t="str">
            <v>イ</v>
          </cell>
          <cell r="AF1761">
            <v>15</v>
          </cell>
          <cell r="AG1761">
            <v>25</v>
          </cell>
          <cell r="AH1761">
            <v>3</v>
          </cell>
          <cell r="AJ1761" t="str">
            <v>羽原川</v>
          </cell>
          <cell r="AQ1761" t="str">
            <v/>
          </cell>
          <cell r="AR1761" t="str">
            <v>標準活性汚泥法</v>
          </cell>
          <cell r="AS1761" t="str">
            <v>3420701002</v>
          </cell>
          <cell r="AT1761" t="str">
            <v/>
          </cell>
          <cell r="AU1761" t="str">
            <v>10</v>
          </cell>
          <cell r="AV1761" t="str">
            <v>10</v>
          </cell>
          <cell r="AW1761">
            <v>0</v>
          </cell>
          <cell r="AX1761">
            <v>0</v>
          </cell>
          <cell r="AY1761">
            <v>0</v>
          </cell>
          <cell r="AZ1761">
            <v>0</v>
          </cell>
          <cell r="BA1761">
            <v>0</v>
          </cell>
          <cell r="BD1761" t="str">
            <v/>
          </cell>
          <cell r="BE1761">
            <v>1</v>
          </cell>
          <cell r="BG1761" t="str">
            <v>1100</v>
          </cell>
        </row>
        <row r="1762">
          <cell r="B1762" t="str">
            <v>G342080106100100</v>
          </cell>
          <cell r="C1762" t="str">
            <v>34.広島県</v>
          </cell>
          <cell r="D1762" t="str">
            <v>208</v>
          </cell>
          <cell r="E1762" t="str">
            <v>府中市</v>
          </cell>
          <cell r="F1762" t="str">
            <v>01</v>
          </cell>
          <cell r="G1762" t="str">
            <v>公共 単独</v>
          </cell>
          <cell r="H1762" t="str">
            <v>公共下水道</v>
          </cell>
          <cell r="I1762" t="str">
            <v>単独</v>
          </cell>
          <cell r="J1762" t="str">
            <v>001</v>
          </cell>
          <cell r="K1762" t="str">
            <v>上下水質管理センター</v>
          </cell>
          <cell r="M1762" t="str">
            <v>1</v>
          </cell>
          <cell r="N1762" t="str">
            <v>1</v>
          </cell>
          <cell r="P1762" t="str">
            <v>1</v>
          </cell>
          <cell r="Q1762">
            <v>33725</v>
          </cell>
          <cell r="R1762" t="str">
            <v>平成</v>
          </cell>
          <cell r="S1762">
            <v>4</v>
          </cell>
          <cell r="T1762">
            <v>5</v>
          </cell>
          <cell r="AB1762">
            <v>4390</v>
          </cell>
          <cell r="AC1762" t="str">
            <v>上下川</v>
          </cell>
          <cell r="AD1762" t="str">
            <v>Ａ</v>
          </cell>
          <cell r="AE1762" t="str">
            <v>イ</v>
          </cell>
          <cell r="AF1762">
            <v>15</v>
          </cell>
          <cell r="AJ1762" t="str">
            <v>上下川</v>
          </cell>
          <cell r="AN1762">
            <v>2</v>
          </cell>
          <cell r="AO1762" t="str">
            <v>三次市</v>
          </cell>
          <cell r="AQ1762" t="str">
            <v/>
          </cell>
          <cell r="AR1762" t="str">
            <v>オキシディションディッチ法</v>
          </cell>
          <cell r="AS1762" t="str">
            <v>3420801001</v>
          </cell>
          <cell r="AT1762" t="str">
            <v/>
          </cell>
          <cell r="AU1762" t="str">
            <v>10</v>
          </cell>
          <cell r="AV1762" t="str">
            <v>10</v>
          </cell>
          <cell r="AW1762">
            <v>1</v>
          </cell>
          <cell r="AX1762">
            <v>0</v>
          </cell>
          <cell r="AY1762">
            <v>0</v>
          </cell>
          <cell r="AZ1762">
            <v>0</v>
          </cell>
          <cell r="BA1762">
            <v>0</v>
          </cell>
          <cell r="BD1762" t="str">
            <v/>
          </cell>
          <cell r="BE1762">
            <v>1</v>
          </cell>
          <cell r="BG1762" t="str">
            <v>1101</v>
          </cell>
        </row>
        <row r="1763">
          <cell r="B1763" t="str">
            <v>G342090106100100</v>
          </cell>
          <cell r="C1763" t="str">
            <v>34.広島県</v>
          </cell>
          <cell r="D1763" t="str">
            <v>209</v>
          </cell>
          <cell r="E1763" t="str">
            <v>三次市</v>
          </cell>
          <cell r="F1763" t="str">
            <v>01</v>
          </cell>
          <cell r="G1763" t="str">
            <v>公共 単独</v>
          </cell>
          <cell r="H1763" t="str">
            <v>公共下水道</v>
          </cell>
          <cell r="I1763" t="str">
            <v>単独</v>
          </cell>
          <cell r="J1763" t="str">
            <v>001</v>
          </cell>
          <cell r="K1763" t="str">
            <v>三次水質管理センター</v>
          </cell>
          <cell r="M1763" t="str">
            <v>1</v>
          </cell>
          <cell r="N1763" t="str">
            <v>1</v>
          </cell>
          <cell r="Q1763">
            <v>36617</v>
          </cell>
          <cell r="R1763" t="str">
            <v>平成</v>
          </cell>
          <cell r="S1763">
            <v>12</v>
          </cell>
          <cell r="T1763">
            <v>4</v>
          </cell>
          <cell r="AB1763">
            <v>29700</v>
          </cell>
          <cell r="AC1763" t="str">
            <v>江の川</v>
          </cell>
          <cell r="AD1763" t="str">
            <v>Ａ</v>
          </cell>
          <cell r="AE1763" t="str">
            <v>イ</v>
          </cell>
          <cell r="AF1763">
            <v>15</v>
          </cell>
          <cell r="AK1763" t="str">
            <v>江の川</v>
          </cell>
          <cell r="AQ1763" t="str">
            <v/>
          </cell>
          <cell r="AR1763" t="str">
            <v>標準活性汚泥法</v>
          </cell>
          <cell r="AS1763" t="str">
            <v>3420901001</v>
          </cell>
          <cell r="AT1763" t="str">
            <v/>
          </cell>
          <cell r="AU1763" t="str">
            <v>10</v>
          </cell>
          <cell r="AV1763" t="str">
            <v>10</v>
          </cell>
          <cell r="AW1763">
            <v>0</v>
          </cell>
          <cell r="AX1763">
            <v>0</v>
          </cell>
          <cell r="AY1763">
            <v>0</v>
          </cell>
          <cell r="AZ1763">
            <v>0</v>
          </cell>
          <cell r="BA1763">
            <v>0</v>
          </cell>
          <cell r="BD1763" t="str">
            <v/>
          </cell>
          <cell r="BE1763">
            <v>1</v>
          </cell>
          <cell r="BG1763" t="str">
            <v>1100</v>
          </cell>
        </row>
        <row r="1764">
          <cell r="B1764" t="str">
            <v>G342090106100200</v>
          </cell>
          <cell r="C1764" t="str">
            <v>34.広島県</v>
          </cell>
          <cell r="D1764" t="str">
            <v>209</v>
          </cell>
          <cell r="E1764" t="str">
            <v>三次市</v>
          </cell>
          <cell r="F1764" t="str">
            <v>01</v>
          </cell>
          <cell r="G1764" t="str">
            <v>公共 単独</v>
          </cell>
          <cell r="H1764" t="str">
            <v>公共下水道</v>
          </cell>
          <cell r="I1764" t="str">
            <v>単独</v>
          </cell>
          <cell r="J1764" t="str">
            <v>002</v>
          </cell>
          <cell r="K1764" t="str">
            <v>三良坂水質管理センター</v>
          </cell>
          <cell r="M1764" t="str">
            <v>1</v>
          </cell>
          <cell r="N1764" t="str">
            <v>1</v>
          </cell>
          <cell r="Q1764">
            <v>37530</v>
          </cell>
          <cell r="R1764" t="str">
            <v>平成</v>
          </cell>
          <cell r="S1764">
            <v>14</v>
          </cell>
          <cell r="T1764">
            <v>10</v>
          </cell>
          <cell r="AB1764">
            <v>7350</v>
          </cell>
          <cell r="AC1764" t="str">
            <v>江の川</v>
          </cell>
          <cell r="AD1764" t="str">
            <v>Ａ</v>
          </cell>
          <cell r="AE1764" t="str">
            <v>イ</v>
          </cell>
          <cell r="AF1764">
            <v>15</v>
          </cell>
          <cell r="AK1764" t="str">
            <v>馬洗川</v>
          </cell>
          <cell r="AL1764" t="str">
            <v>向江田</v>
          </cell>
          <cell r="AN1764">
            <v>4</v>
          </cell>
          <cell r="AO1764" t="str">
            <v>三次市</v>
          </cell>
          <cell r="AQ1764" t="str">
            <v/>
          </cell>
          <cell r="AR1764" t="str">
            <v>オキシディションディッチ法</v>
          </cell>
          <cell r="AS1764" t="str">
            <v>3420901002</v>
          </cell>
          <cell r="AT1764" t="str">
            <v/>
          </cell>
          <cell r="AU1764" t="str">
            <v>10</v>
          </cell>
          <cell r="AV1764" t="str">
            <v>10</v>
          </cell>
          <cell r="AW1764">
            <v>0</v>
          </cell>
          <cell r="AX1764">
            <v>0</v>
          </cell>
          <cell r="AY1764">
            <v>0</v>
          </cell>
          <cell r="AZ1764">
            <v>0</v>
          </cell>
          <cell r="BA1764">
            <v>0</v>
          </cell>
          <cell r="BD1764" t="str">
            <v/>
          </cell>
          <cell r="BE1764">
            <v>1</v>
          </cell>
          <cell r="BG1764" t="str">
            <v>1100</v>
          </cell>
        </row>
        <row r="1765">
          <cell r="B1765" t="str">
            <v>G342090206100300</v>
          </cell>
          <cell r="C1765" t="str">
            <v>34.広島県</v>
          </cell>
          <cell r="D1765" t="str">
            <v>209</v>
          </cell>
          <cell r="E1765" t="str">
            <v>三次市</v>
          </cell>
          <cell r="F1765" t="str">
            <v>02</v>
          </cell>
          <cell r="G1765" t="str">
            <v>特環 単独</v>
          </cell>
          <cell r="H1765" t="str">
            <v>特定環境保全公共下水道</v>
          </cell>
          <cell r="I1765" t="str">
            <v>単独</v>
          </cell>
          <cell r="J1765" t="str">
            <v>003</v>
          </cell>
          <cell r="K1765" t="str">
            <v>安田浄化センター</v>
          </cell>
          <cell r="M1765" t="str">
            <v>1</v>
          </cell>
          <cell r="N1765" t="str">
            <v>1</v>
          </cell>
          <cell r="Q1765">
            <v>34425</v>
          </cell>
          <cell r="R1765" t="str">
            <v>平成</v>
          </cell>
          <cell r="S1765">
            <v>6</v>
          </cell>
          <cell r="T1765">
            <v>4</v>
          </cell>
          <cell r="AB1765">
            <v>986</v>
          </cell>
          <cell r="AC1765" t="str">
            <v>江の川</v>
          </cell>
          <cell r="AD1765" t="str">
            <v>Ａ</v>
          </cell>
          <cell r="AE1765" t="str">
            <v>イ</v>
          </cell>
          <cell r="AF1765">
            <v>15</v>
          </cell>
          <cell r="AK1765" t="str">
            <v>伏谷川</v>
          </cell>
          <cell r="AL1765" t="str">
            <v>向江田</v>
          </cell>
          <cell r="AN1765">
            <v>20</v>
          </cell>
          <cell r="AO1765" t="str">
            <v>三次市</v>
          </cell>
          <cell r="AQ1765" t="str">
            <v/>
          </cell>
          <cell r="AR1765" t="str">
            <v>オキシディションディッチ法</v>
          </cell>
          <cell r="AS1765" t="str">
            <v>3420902003</v>
          </cell>
          <cell r="AT1765" t="str">
            <v/>
          </cell>
          <cell r="AU1765" t="str">
            <v>10</v>
          </cell>
          <cell r="AV1765" t="str">
            <v>10</v>
          </cell>
          <cell r="AW1765">
            <v>0</v>
          </cell>
          <cell r="AX1765">
            <v>0</v>
          </cell>
          <cell r="AY1765">
            <v>0</v>
          </cell>
          <cell r="AZ1765">
            <v>0</v>
          </cell>
          <cell r="BA1765">
            <v>0</v>
          </cell>
          <cell r="BD1765" t="str">
            <v/>
          </cell>
          <cell r="BE1765">
            <v>1</v>
          </cell>
          <cell r="BG1765" t="str">
            <v>1100</v>
          </cell>
        </row>
        <row r="1766">
          <cell r="B1766" t="str">
            <v>G342090206100400</v>
          </cell>
          <cell r="C1766" t="str">
            <v>34.広島県</v>
          </cell>
          <cell r="D1766" t="str">
            <v>209</v>
          </cell>
          <cell r="E1766" t="str">
            <v>三次市</v>
          </cell>
          <cell r="F1766" t="str">
            <v>02</v>
          </cell>
          <cell r="G1766" t="str">
            <v>特環 単独</v>
          </cell>
          <cell r="H1766" t="str">
            <v>特定環境保全公共下水道</v>
          </cell>
          <cell r="I1766" t="str">
            <v>単独</v>
          </cell>
          <cell r="J1766" t="str">
            <v>004</v>
          </cell>
          <cell r="K1766" t="str">
            <v>酒屋浄化センター</v>
          </cell>
          <cell r="M1766" t="str">
            <v>1</v>
          </cell>
          <cell r="N1766" t="str">
            <v>1</v>
          </cell>
          <cell r="Q1766">
            <v>34439</v>
          </cell>
          <cell r="R1766" t="str">
            <v>平成</v>
          </cell>
          <cell r="S1766">
            <v>6</v>
          </cell>
          <cell r="T1766">
            <v>4</v>
          </cell>
          <cell r="AB1766">
            <v>2300</v>
          </cell>
          <cell r="AC1766" t="str">
            <v>江の川</v>
          </cell>
          <cell r="AD1766" t="str">
            <v>Ａ</v>
          </cell>
          <cell r="AE1766" t="str">
            <v>イ</v>
          </cell>
          <cell r="AF1766">
            <v>15</v>
          </cell>
          <cell r="AK1766" t="str">
            <v>片丘川</v>
          </cell>
          <cell r="AQ1766" t="str">
            <v/>
          </cell>
          <cell r="AR1766" t="str">
            <v>オキシディションディッチ法</v>
          </cell>
          <cell r="AS1766" t="str">
            <v>3420902004</v>
          </cell>
          <cell r="AT1766" t="str">
            <v/>
          </cell>
          <cell r="AU1766" t="str">
            <v>10</v>
          </cell>
          <cell r="AV1766" t="str">
            <v>10</v>
          </cell>
          <cell r="AW1766">
            <v>0</v>
          </cell>
          <cell r="AX1766">
            <v>0</v>
          </cell>
          <cell r="AY1766">
            <v>0</v>
          </cell>
          <cell r="AZ1766">
            <v>0</v>
          </cell>
          <cell r="BA1766">
            <v>0</v>
          </cell>
          <cell r="BD1766" t="str">
            <v/>
          </cell>
          <cell r="BE1766">
            <v>1</v>
          </cell>
          <cell r="BG1766" t="str">
            <v>1100</v>
          </cell>
        </row>
        <row r="1767">
          <cell r="B1767" t="str">
            <v>G342090206100500</v>
          </cell>
          <cell r="C1767" t="str">
            <v>34.広島県</v>
          </cell>
          <cell r="D1767" t="str">
            <v>209</v>
          </cell>
          <cell r="E1767" t="str">
            <v>三次市</v>
          </cell>
          <cell r="F1767" t="str">
            <v>02</v>
          </cell>
          <cell r="G1767" t="str">
            <v>特環 単独</v>
          </cell>
          <cell r="H1767" t="str">
            <v>特定環境保全公共下水道</v>
          </cell>
          <cell r="I1767" t="str">
            <v>単独</v>
          </cell>
          <cell r="J1767" t="str">
            <v>005</v>
          </cell>
          <cell r="K1767" t="str">
            <v>灰塚水質管理センター</v>
          </cell>
          <cell r="M1767" t="str">
            <v>1</v>
          </cell>
          <cell r="N1767" t="str">
            <v>1</v>
          </cell>
          <cell r="Q1767">
            <v>34500</v>
          </cell>
          <cell r="R1767" t="str">
            <v>平成</v>
          </cell>
          <cell r="S1767">
            <v>6</v>
          </cell>
          <cell r="T1767">
            <v>6</v>
          </cell>
          <cell r="AB1767">
            <v>970</v>
          </cell>
          <cell r="AC1767" t="str">
            <v>江の川</v>
          </cell>
          <cell r="AD1767" t="str">
            <v>Ａ</v>
          </cell>
          <cell r="AE1767" t="str">
            <v>イ</v>
          </cell>
          <cell r="AF1767">
            <v>15</v>
          </cell>
          <cell r="AK1767" t="str">
            <v>上下川</v>
          </cell>
          <cell r="AL1767" t="str">
            <v>向江田</v>
          </cell>
          <cell r="AN1767">
            <v>14</v>
          </cell>
          <cell r="AO1767" t="str">
            <v>三次市</v>
          </cell>
          <cell r="AQ1767" t="str">
            <v/>
          </cell>
          <cell r="AR1767" t="str">
            <v>オキシディションディッチ法</v>
          </cell>
          <cell r="AS1767" t="str">
            <v>3420902005</v>
          </cell>
          <cell r="AT1767" t="str">
            <v/>
          </cell>
          <cell r="AU1767" t="str">
            <v>10</v>
          </cell>
          <cell r="AV1767" t="str">
            <v>10</v>
          </cell>
          <cell r="AW1767">
            <v>0</v>
          </cell>
          <cell r="AX1767">
            <v>0</v>
          </cell>
          <cell r="AY1767">
            <v>0</v>
          </cell>
          <cell r="AZ1767">
            <v>0</v>
          </cell>
          <cell r="BA1767">
            <v>0</v>
          </cell>
          <cell r="BD1767" t="str">
            <v/>
          </cell>
          <cell r="BE1767">
            <v>1</v>
          </cell>
          <cell r="BG1767" t="str">
            <v>1100</v>
          </cell>
        </row>
        <row r="1768">
          <cell r="B1768" t="str">
            <v>G342090206100600</v>
          </cell>
          <cell r="C1768" t="str">
            <v>34.広島県</v>
          </cell>
          <cell r="D1768" t="str">
            <v>209</v>
          </cell>
          <cell r="E1768" t="str">
            <v>三次市</v>
          </cell>
          <cell r="F1768" t="str">
            <v>02</v>
          </cell>
          <cell r="G1768" t="str">
            <v>特環 単独</v>
          </cell>
          <cell r="H1768" t="str">
            <v>特定環境保全公共下水道</v>
          </cell>
          <cell r="I1768" t="str">
            <v>単独</v>
          </cell>
          <cell r="J1768" t="str">
            <v>006</v>
          </cell>
          <cell r="K1768" t="str">
            <v>吉舎浄化センター</v>
          </cell>
          <cell r="M1768" t="str">
            <v>1</v>
          </cell>
          <cell r="N1768" t="str">
            <v>1</v>
          </cell>
          <cell r="Q1768">
            <v>37352</v>
          </cell>
          <cell r="R1768" t="str">
            <v>平成</v>
          </cell>
          <cell r="S1768">
            <v>14</v>
          </cell>
          <cell r="T1768">
            <v>4</v>
          </cell>
          <cell r="AB1768">
            <v>7100</v>
          </cell>
          <cell r="AC1768" t="str">
            <v>江の川</v>
          </cell>
          <cell r="AD1768" t="str">
            <v>Ａ</v>
          </cell>
          <cell r="AE1768" t="str">
            <v>イ</v>
          </cell>
          <cell r="AF1768">
            <v>15</v>
          </cell>
          <cell r="AK1768" t="str">
            <v>馬洗川</v>
          </cell>
          <cell r="AL1768" t="str">
            <v>向江田</v>
          </cell>
          <cell r="AN1768">
            <v>0.5</v>
          </cell>
          <cell r="AO1768" t="str">
            <v>三次市</v>
          </cell>
          <cell r="AQ1768" t="str">
            <v/>
          </cell>
          <cell r="AR1768" t="str">
            <v>長時間エアレーション法</v>
          </cell>
          <cell r="AS1768" t="str">
            <v>3420902006</v>
          </cell>
          <cell r="AT1768" t="str">
            <v/>
          </cell>
          <cell r="AU1768" t="str">
            <v>10</v>
          </cell>
          <cell r="AV1768" t="str">
            <v>10</v>
          </cell>
          <cell r="AW1768">
            <v>0</v>
          </cell>
          <cell r="AX1768">
            <v>0</v>
          </cell>
          <cell r="AY1768">
            <v>0</v>
          </cell>
          <cell r="AZ1768">
            <v>0</v>
          </cell>
          <cell r="BA1768">
            <v>0</v>
          </cell>
          <cell r="BD1768" t="str">
            <v/>
          </cell>
          <cell r="BE1768">
            <v>1</v>
          </cell>
          <cell r="BG1768" t="str">
            <v>1100</v>
          </cell>
        </row>
        <row r="1769">
          <cell r="B1769" t="str">
            <v>G342090206100700</v>
          </cell>
          <cell r="C1769" t="str">
            <v>34.広島県</v>
          </cell>
          <cell r="D1769" t="str">
            <v>209</v>
          </cell>
          <cell r="E1769" t="str">
            <v>三次市</v>
          </cell>
          <cell r="F1769" t="str">
            <v>02</v>
          </cell>
          <cell r="G1769" t="str">
            <v>特環 単独</v>
          </cell>
          <cell r="H1769" t="str">
            <v>特定環境保全公共下水道</v>
          </cell>
          <cell r="I1769" t="str">
            <v>単独</v>
          </cell>
          <cell r="J1769" t="str">
            <v>007</v>
          </cell>
          <cell r="K1769" t="str">
            <v>布野水質管理センター</v>
          </cell>
          <cell r="M1769" t="str">
            <v>1</v>
          </cell>
          <cell r="Q1769">
            <v>37965</v>
          </cell>
          <cell r="R1769" t="str">
            <v>平成</v>
          </cell>
          <cell r="S1769">
            <v>15</v>
          </cell>
          <cell r="T1769">
            <v>12</v>
          </cell>
          <cell r="AB1769">
            <v>2860</v>
          </cell>
          <cell r="AC1769" t="str">
            <v>江の川</v>
          </cell>
          <cell r="AD1769" t="str">
            <v>Ａ</v>
          </cell>
          <cell r="AE1769" t="str">
            <v>イ</v>
          </cell>
          <cell r="AF1769">
            <v>15</v>
          </cell>
          <cell r="AK1769" t="str">
            <v>神野瀬川</v>
          </cell>
          <cell r="AQ1769" t="str">
            <v/>
          </cell>
          <cell r="AR1769" t="str">
            <v>嫌気好気ろ床法</v>
          </cell>
          <cell r="AS1769" t="str">
            <v>3420902007</v>
          </cell>
          <cell r="AT1769" t="str">
            <v/>
          </cell>
          <cell r="AU1769" t="str">
            <v>00</v>
          </cell>
          <cell r="AV1769" t="str">
            <v>00</v>
          </cell>
          <cell r="AW1769">
            <v>0</v>
          </cell>
          <cell r="AX1769">
            <v>0</v>
          </cell>
          <cell r="AY1769">
            <v>0</v>
          </cell>
          <cell r="AZ1769">
            <v>0</v>
          </cell>
          <cell r="BA1769">
            <v>0</v>
          </cell>
          <cell r="BD1769" t="str">
            <v/>
          </cell>
          <cell r="BE1769">
            <v>1</v>
          </cell>
          <cell r="BG1769" t="str">
            <v>1000</v>
          </cell>
        </row>
        <row r="1770">
          <cell r="B1770" t="str">
            <v>G342090206100800</v>
          </cell>
          <cell r="C1770" t="str">
            <v>34.広島県</v>
          </cell>
          <cell r="D1770" t="str">
            <v>209</v>
          </cell>
          <cell r="E1770" t="str">
            <v>三次市</v>
          </cell>
          <cell r="F1770" t="str">
            <v>02</v>
          </cell>
          <cell r="G1770" t="str">
            <v>特環 単独</v>
          </cell>
          <cell r="H1770" t="str">
            <v>特定環境保全公共下水道</v>
          </cell>
          <cell r="I1770" t="str">
            <v>単独</v>
          </cell>
          <cell r="J1770" t="str">
            <v>008</v>
          </cell>
          <cell r="K1770" t="str">
            <v>甲奴水質管理センター</v>
          </cell>
          <cell r="M1770" t="str">
            <v>1</v>
          </cell>
          <cell r="N1770" t="str">
            <v>1</v>
          </cell>
          <cell r="Q1770">
            <v>38443</v>
          </cell>
          <cell r="R1770" t="str">
            <v>平成</v>
          </cell>
          <cell r="S1770">
            <v>17</v>
          </cell>
          <cell r="T1770">
            <v>4</v>
          </cell>
          <cell r="AB1770">
            <v>3670</v>
          </cell>
          <cell r="AC1770" t="str">
            <v>江の川</v>
          </cell>
          <cell r="AD1770" t="str">
            <v>Ａ</v>
          </cell>
          <cell r="AE1770" t="str">
            <v>イ</v>
          </cell>
          <cell r="AF1770">
            <v>15</v>
          </cell>
          <cell r="AK1770" t="str">
            <v>上下川</v>
          </cell>
          <cell r="AL1770" t="str">
            <v>向江田</v>
          </cell>
          <cell r="AN1770">
            <v>31</v>
          </cell>
          <cell r="AO1770" t="str">
            <v>三次市</v>
          </cell>
          <cell r="AQ1770" t="str">
            <v/>
          </cell>
          <cell r="AR1770" t="str">
            <v>オキシディションディッチ法</v>
          </cell>
          <cell r="AS1770" t="str">
            <v>3420902008</v>
          </cell>
          <cell r="AT1770" t="str">
            <v/>
          </cell>
          <cell r="AU1770" t="str">
            <v>10</v>
          </cell>
          <cell r="AV1770" t="str">
            <v>10</v>
          </cell>
          <cell r="AW1770">
            <v>0</v>
          </cell>
          <cell r="AX1770">
            <v>0</v>
          </cell>
          <cell r="AY1770">
            <v>0</v>
          </cell>
          <cell r="AZ1770">
            <v>0</v>
          </cell>
          <cell r="BA1770">
            <v>0</v>
          </cell>
          <cell r="BD1770" t="str">
            <v/>
          </cell>
          <cell r="BE1770">
            <v>1</v>
          </cell>
          <cell r="BG1770" t="str">
            <v>1100</v>
          </cell>
        </row>
        <row r="1771">
          <cell r="B1771" t="str">
            <v>G342100106100100</v>
          </cell>
          <cell r="C1771" t="str">
            <v>34.広島県</v>
          </cell>
          <cell r="D1771" t="str">
            <v>210</v>
          </cell>
          <cell r="E1771" t="str">
            <v>庄原市</v>
          </cell>
          <cell r="F1771" t="str">
            <v>01</v>
          </cell>
          <cell r="G1771" t="str">
            <v>公共 単独</v>
          </cell>
          <cell r="H1771" t="str">
            <v>公共下水道</v>
          </cell>
          <cell r="I1771" t="str">
            <v>単独</v>
          </cell>
          <cell r="J1771" t="str">
            <v>001</v>
          </cell>
          <cell r="K1771" t="str">
            <v>庄原浄化センター</v>
          </cell>
          <cell r="M1771" t="str">
            <v>1</v>
          </cell>
          <cell r="N1771" t="str">
            <v>1</v>
          </cell>
          <cell r="P1771" t="str">
            <v>1</v>
          </cell>
          <cell r="Q1771">
            <v>36251</v>
          </cell>
          <cell r="R1771" t="str">
            <v>平成</v>
          </cell>
          <cell r="S1771">
            <v>11</v>
          </cell>
          <cell r="T1771">
            <v>4</v>
          </cell>
          <cell r="AB1771">
            <v>28200</v>
          </cell>
          <cell r="AC1771" t="str">
            <v>西城川</v>
          </cell>
          <cell r="AD1771" t="str">
            <v>Ａ</v>
          </cell>
          <cell r="AE1771" t="str">
            <v>イ</v>
          </cell>
          <cell r="AF1771">
            <v>15</v>
          </cell>
          <cell r="AK1771" t="str">
            <v>西城川</v>
          </cell>
          <cell r="AL1771" t="str">
            <v>石丸取水場</v>
          </cell>
          <cell r="AM1771">
            <v>2.2999999999999998</v>
          </cell>
          <cell r="AO1771" t="str">
            <v>庄原市</v>
          </cell>
          <cell r="AQ1771" t="str">
            <v/>
          </cell>
          <cell r="AR1771" t="str">
            <v>オキシディションディッチ法</v>
          </cell>
          <cell r="AS1771" t="str">
            <v>3421001001</v>
          </cell>
          <cell r="AT1771" t="str">
            <v/>
          </cell>
          <cell r="AU1771" t="str">
            <v>10</v>
          </cell>
          <cell r="AV1771" t="str">
            <v>10</v>
          </cell>
          <cell r="AW1771">
            <v>1</v>
          </cell>
          <cell r="AX1771">
            <v>0</v>
          </cell>
          <cell r="AY1771">
            <v>0</v>
          </cell>
          <cell r="AZ1771">
            <v>0</v>
          </cell>
          <cell r="BA1771">
            <v>0</v>
          </cell>
          <cell r="BD1771" t="str">
            <v/>
          </cell>
          <cell r="BE1771">
            <v>1</v>
          </cell>
          <cell r="BG1771" t="str">
            <v>1101</v>
          </cell>
        </row>
        <row r="1772">
          <cell r="B1772" t="str">
            <v>G342100106100200</v>
          </cell>
          <cell r="C1772" t="str">
            <v>34.広島県</v>
          </cell>
          <cell r="D1772" t="str">
            <v>210</v>
          </cell>
          <cell r="E1772" t="str">
            <v>庄原市</v>
          </cell>
          <cell r="F1772" t="str">
            <v>01</v>
          </cell>
          <cell r="G1772" t="str">
            <v>公共 単独</v>
          </cell>
          <cell r="H1772" t="str">
            <v>公共下水道</v>
          </cell>
          <cell r="I1772" t="str">
            <v>単独</v>
          </cell>
          <cell r="J1772" t="str">
            <v>002</v>
          </cell>
          <cell r="K1772" t="str">
            <v>東城浄化センター</v>
          </cell>
          <cell r="M1772" t="str">
            <v>1</v>
          </cell>
          <cell r="N1772" t="str">
            <v>1</v>
          </cell>
          <cell r="Q1772">
            <v>37377</v>
          </cell>
          <cell r="R1772" t="str">
            <v>平成</v>
          </cell>
          <cell r="S1772">
            <v>14</v>
          </cell>
          <cell r="T1772">
            <v>5</v>
          </cell>
          <cell r="AB1772">
            <v>19300</v>
          </cell>
          <cell r="AC1772" t="str">
            <v>高梁川水系成羽川</v>
          </cell>
          <cell r="AD1772" t="str">
            <v>Ａ</v>
          </cell>
          <cell r="AE1772" t="str">
            <v>イ</v>
          </cell>
          <cell r="AF1772">
            <v>15</v>
          </cell>
          <cell r="AG1772">
            <v>25</v>
          </cell>
          <cell r="AH1772">
            <v>3</v>
          </cell>
          <cell r="AI1772" t="str">
            <v>成羽川</v>
          </cell>
          <cell r="AK1772" t="str">
            <v>高梁川</v>
          </cell>
          <cell r="AL1772" t="str">
            <v>西川取水場</v>
          </cell>
          <cell r="AM1772">
            <v>3</v>
          </cell>
          <cell r="AO1772" t="str">
            <v>庄原市</v>
          </cell>
          <cell r="AQ1772" t="str">
            <v/>
          </cell>
          <cell r="AR1772" t="str">
            <v>オキシディションディッチ法</v>
          </cell>
          <cell r="AS1772" t="str">
            <v>3421001002</v>
          </cell>
          <cell r="AT1772" t="str">
            <v/>
          </cell>
          <cell r="AU1772" t="str">
            <v>10</v>
          </cell>
          <cell r="AV1772" t="str">
            <v>10</v>
          </cell>
          <cell r="AW1772">
            <v>0</v>
          </cell>
          <cell r="AX1772">
            <v>0</v>
          </cell>
          <cell r="AY1772">
            <v>0</v>
          </cell>
          <cell r="AZ1772">
            <v>0</v>
          </cell>
          <cell r="BA1772">
            <v>0</v>
          </cell>
          <cell r="BD1772" t="str">
            <v/>
          </cell>
          <cell r="BE1772">
            <v>1</v>
          </cell>
          <cell r="BG1772" t="str">
            <v>1100</v>
          </cell>
        </row>
        <row r="1773">
          <cell r="B1773" t="str">
            <v>G342100206100300</v>
          </cell>
          <cell r="C1773" t="str">
            <v>34.広島県</v>
          </cell>
          <cell r="D1773" t="str">
            <v>210</v>
          </cell>
          <cell r="E1773" t="str">
            <v>庄原市</v>
          </cell>
          <cell r="F1773" t="str">
            <v>02</v>
          </cell>
          <cell r="G1773" t="str">
            <v>特環 単独</v>
          </cell>
          <cell r="H1773" t="str">
            <v>特定環境保全公共下水道</v>
          </cell>
          <cell r="I1773" t="str">
            <v>単独</v>
          </cell>
          <cell r="J1773" t="str">
            <v>003</v>
          </cell>
          <cell r="K1773" t="str">
            <v>総領浄化センター</v>
          </cell>
          <cell r="M1773" t="str">
            <v>1</v>
          </cell>
          <cell r="N1773" t="str">
            <v>1</v>
          </cell>
          <cell r="Q1773">
            <v>34608</v>
          </cell>
          <cell r="R1773" t="str">
            <v>平成</v>
          </cell>
          <cell r="S1773">
            <v>6</v>
          </cell>
          <cell r="T1773">
            <v>10</v>
          </cell>
          <cell r="AB1773">
            <v>1387</v>
          </cell>
          <cell r="AC1773" t="str">
            <v>田総川</v>
          </cell>
          <cell r="AD1773" t="str">
            <v>Ａ</v>
          </cell>
          <cell r="AE1773" t="str">
            <v>イ</v>
          </cell>
          <cell r="AF1773">
            <v>15</v>
          </cell>
          <cell r="AK1773" t="str">
            <v>田総川</v>
          </cell>
          <cell r="AQ1773" t="str">
            <v/>
          </cell>
          <cell r="AR1773" t="str">
            <v>オキシディションディッチ法</v>
          </cell>
          <cell r="AS1773" t="str">
            <v>3421002003</v>
          </cell>
          <cell r="AT1773" t="str">
            <v/>
          </cell>
          <cell r="AU1773" t="str">
            <v>10</v>
          </cell>
          <cell r="AV1773" t="str">
            <v>10</v>
          </cell>
          <cell r="AW1773">
            <v>0</v>
          </cell>
          <cell r="AX1773">
            <v>0</v>
          </cell>
          <cell r="AY1773">
            <v>0</v>
          </cell>
          <cell r="AZ1773">
            <v>0</v>
          </cell>
          <cell r="BA1773">
            <v>0</v>
          </cell>
          <cell r="BD1773" t="str">
            <v/>
          </cell>
          <cell r="BE1773">
            <v>1</v>
          </cell>
          <cell r="BG1773" t="str">
            <v>1100</v>
          </cell>
        </row>
        <row r="1774">
          <cell r="B1774" t="str">
            <v>G342100206100400</v>
          </cell>
          <cell r="C1774" t="str">
            <v>34.広島県</v>
          </cell>
          <cell r="D1774" t="str">
            <v>210</v>
          </cell>
          <cell r="E1774" t="str">
            <v>庄原市</v>
          </cell>
          <cell r="F1774" t="str">
            <v>02</v>
          </cell>
          <cell r="G1774" t="str">
            <v>特環 単独</v>
          </cell>
          <cell r="H1774" t="str">
            <v>特定環境保全公共下水道</v>
          </cell>
          <cell r="I1774" t="str">
            <v>単独</v>
          </cell>
          <cell r="J1774" t="str">
            <v>004</v>
          </cell>
          <cell r="K1774" t="str">
            <v>比和浄化センター</v>
          </cell>
          <cell r="M1774" t="str">
            <v>1</v>
          </cell>
          <cell r="N1774" t="str">
            <v>1</v>
          </cell>
          <cell r="Q1774">
            <v>38078</v>
          </cell>
          <cell r="R1774" t="str">
            <v>平成</v>
          </cell>
          <cell r="S1774">
            <v>16</v>
          </cell>
          <cell r="T1774">
            <v>4</v>
          </cell>
          <cell r="AB1774">
            <v>2300</v>
          </cell>
          <cell r="AC1774" t="str">
            <v>比和川</v>
          </cell>
          <cell r="AD1774" t="str">
            <v>Ａ</v>
          </cell>
          <cell r="AE1774" t="str">
            <v>イ</v>
          </cell>
          <cell r="AF1774">
            <v>15</v>
          </cell>
          <cell r="AK1774" t="str">
            <v>比和川</v>
          </cell>
          <cell r="AM1774">
            <v>4</v>
          </cell>
          <cell r="AO1774" t="str">
            <v>庄原市</v>
          </cell>
          <cell r="AQ1774" t="str">
            <v/>
          </cell>
          <cell r="AR1774" t="str">
            <v>オキシディションディッチ法</v>
          </cell>
          <cell r="AS1774" t="str">
            <v>3421002004</v>
          </cell>
          <cell r="AT1774" t="str">
            <v/>
          </cell>
          <cell r="AU1774" t="str">
            <v>10</v>
          </cell>
          <cell r="AV1774" t="str">
            <v>10</v>
          </cell>
          <cell r="AW1774">
            <v>0</v>
          </cell>
          <cell r="AX1774">
            <v>0</v>
          </cell>
          <cell r="AY1774">
            <v>0</v>
          </cell>
          <cell r="AZ1774">
            <v>0</v>
          </cell>
          <cell r="BA1774">
            <v>0</v>
          </cell>
          <cell r="BD1774" t="str">
            <v/>
          </cell>
          <cell r="BE1774">
            <v>1</v>
          </cell>
          <cell r="BG1774" t="str">
            <v>1100</v>
          </cell>
        </row>
        <row r="1775">
          <cell r="B1775" t="str">
            <v>G342110106100100</v>
          </cell>
          <cell r="C1775" t="str">
            <v>34.広島県</v>
          </cell>
          <cell r="D1775" t="str">
            <v>211</v>
          </cell>
          <cell r="E1775" t="str">
            <v>大竹市</v>
          </cell>
          <cell r="F1775" t="str">
            <v>01</v>
          </cell>
          <cell r="G1775" t="str">
            <v>公共 単独</v>
          </cell>
          <cell r="H1775" t="str">
            <v>公共下水道</v>
          </cell>
          <cell r="I1775" t="str">
            <v>単独</v>
          </cell>
          <cell r="J1775" t="str">
            <v>001</v>
          </cell>
          <cell r="K1775" t="str">
            <v>大竹下水処理場</v>
          </cell>
          <cell r="M1775" t="str">
            <v>1</v>
          </cell>
          <cell r="N1775" t="str">
            <v>1</v>
          </cell>
          <cell r="Q1775">
            <v>25903</v>
          </cell>
          <cell r="R1775" t="str">
            <v>昭和</v>
          </cell>
          <cell r="S1775">
            <v>45</v>
          </cell>
          <cell r="T1775">
            <v>12</v>
          </cell>
          <cell r="AB1775">
            <v>27000</v>
          </cell>
          <cell r="AC1775" t="str">
            <v>小瀬川</v>
          </cell>
          <cell r="AD1775" t="str">
            <v>Ｂ</v>
          </cell>
          <cell r="AE1775" t="str">
            <v>イ</v>
          </cell>
          <cell r="AF1775">
            <v>15</v>
          </cell>
          <cell r="AK1775" t="str">
            <v>小瀬川</v>
          </cell>
          <cell r="AL1775" t="str">
            <v>防鹿水源地</v>
          </cell>
          <cell r="AM1775">
            <v>10.4</v>
          </cell>
          <cell r="AO1775" t="str">
            <v>大竹市</v>
          </cell>
          <cell r="AQ1775" t="str">
            <v/>
          </cell>
          <cell r="AR1775" t="str">
            <v>標準活性汚泥法</v>
          </cell>
          <cell r="AS1775" t="str">
            <v>3421101001</v>
          </cell>
          <cell r="AT1775" t="str">
            <v/>
          </cell>
          <cell r="AU1775" t="str">
            <v>10</v>
          </cell>
          <cell r="AV1775" t="str">
            <v>10</v>
          </cell>
          <cell r="AW1775">
            <v>0</v>
          </cell>
          <cell r="AX1775">
            <v>0</v>
          </cell>
          <cell r="AY1775">
            <v>0</v>
          </cell>
          <cell r="AZ1775">
            <v>0</v>
          </cell>
          <cell r="BA1775">
            <v>0</v>
          </cell>
          <cell r="BD1775" t="str">
            <v/>
          </cell>
          <cell r="BE1775">
            <v>1</v>
          </cell>
          <cell r="BG1775" t="str">
            <v>1100</v>
          </cell>
        </row>
        <row r="1776">
          <cell r="B1776" t="str">
            <v>G342120106100100</v>
          </cell>
          <cell r="C1776" t="str">
            <v>34.広島県</v>
          </cell>
          <cell r="D1776" t="str">
            <v>212</v>
          </cell>
          <cell r="E1776" t="str">
            <v>東広島市</v>
          </cell>
          <cell r="F1776" t="str">
            <v>01</v>
          </cell>
          <cell r="G1776" t="str">
            <v>公共 単独</v>
          </cell>
          <cell r="H1776" t="str">
            <v>公共下水道</v>
          </cell>
          <cell r="I1776" t="str">
            <v>単独</v>
          </cell>
          <cell r="J1776" t="str">
            <v>001</v>
          </cell>
          <cell r="K1776" t="str">
            <v>東広島浄化センター</v>
          </cell>
          <cell r="M1776" t="str">
            <v>1</v>
          </cell>
          <cell r="N1776" t="str">
            <v>1</v>
          </cell>
          <cell r="P1776" t="str">
            <v>1</v>
          </cell>
          <cell r="Q1776">
            <v>31453</v>
          </cell>
          <cell r="R1776" t="str">
            <v>昭和</v>
          </cell>
          <cell r="S1776">
            <v>61</v>
          </cell>
          <cell r="T1776">
            <v>2</v>
          </cell>
          <cell r="AB1776">
            <v>140000</v>
          </cell>
          <cell r="AC1776" t="str">
            <v>黒瀬川</v>
          </cell>
          <cell r="AD1776" t="str">
            <v>Ａ</v>
          </cell>
          <cell r="AE1776" t="str">
            <v>ハ</v>
          </cell>
          <cell r="AF1776">
            <v>15</v>
          </cell>
          <cell r="AJ1776" t="str">
            <v>黒瀬川</v>
          </cell>
          <cell r="AL1776" t="str">
            <v>吾妻子浄水場</v>
          </cell>
          <cell r="AM1776">
            <v>1.2</v>
          </cell>
          <cell r="AO1776" t="str">
            <v>東広島市</v>
          </cell>
          <cell r="AQ1776" t="str">
            <v/>
          </cell>
          <cell r="AR1776" t="str">
            <v>標準活性汚泥法</v>
          </cell>
          <cell r="AS1776" t="str">
            <v>3421201001</v>
          </cell>
          <cell r="AT1776" t="str">
            <v/>
          </cell>
          <cell r="AU1776" t="str">
            <v>10</v>
          </cell>
          <cell r="AV1776" t="str">
            <v>10</v>
          </cell>
          <cell r="AW1776">
            <v>1</v>
          </cell>
          <cell r="AX1776">
            <v>0</v>
          </cell>
          <cell r="AY1776">
            <v>0</v>
          </cell>
          <cell r="AZ1776">
            <v>0</v>
          </cell>
          <cell r="BA1776">
            <v>0</v>
          </cell>
          <cell r="BD1776" t="str">
            <v/>
          </cell>
          <cell r="BE1776">
            <v>1</v>
          </cell>
          <cell r="BG1776" t="str">
            <v>1101</v>
          </cell>
        </row>
        <row r="1777">
          <cell r="B1777" t="str">
            <v>G342120106100200</v>
          </cell>
          <cell r="C1777" t="str">
            <v>34.広島県</v>
          </cell>
          <cell r="D1777" t="str">
            <v>212</v>
          </cell>
          <cell r="E1777" t="str">
            <v>東広島市</v>
          </cell>
          <cell r="F1777" t="str">
            <v>01</v>
          </cell>
          <cell r="G1777" t="str">
            <v>公共 単独</v>
          </cell>
          <cell r="H1777" t="str">
            <v>公共下水道</v>
          </cell>
          <cell r="I1777" t="str">
            <v>単独</v>
          </cell>
          <cell r="J1777" t="str">
            <v>002</v>
          </cell>
          <cell r="K1777" t="str">
            <v>黒瀬水質管理センター</v>
          </cell>
          <cell r="M1777" t="str">
            <v>1</v>
          </cell>
          <cell r="N1777" t="str">
            <v>1</v>
          </cell>
          <cell r="Q1777">
            <v>35886</v>
          </cell>
          <cell r="R1777" t="str">
            <v>平成</v>
          </cell>
          <cell r="S1777">
            <v>10</v>
          </cell>
          <cell r="T1777">
            <v>4</v>
          </cell>
          <cell r="AB1777">
            <v>30200</v>
          </cell>
          <cell r="AC1777" t="str">
            <v>黒瀬川</v>
          </cell>
          <cell r="AD1777" t="str">
            <v>Ａ</v>
          </cell>
          <cell r="AE1777" t="str">
            <v>ハ</v>
          </cell>
          <cell r="AF1777">
            <v>15</v>
          </cell>
          <cell r="AJ1777" t="str">
            <v>黒瀬川</v>
          </cell>
          <cell r="AL1777" t="str">
            <v>吾妻子浄水場</v>
          </cell>
          <cell r="AM1777">
            <v>18</v>
          </cell>
          <cell r="AO1777" t="str">
            <v>東広島市</v>
          </cell>
          <cell r="AQ1777" t="str">
            <v/>
          </cell>
          <cell r="AR1777" t="str">
            <v>オキシディションディッチ法</v>
          </cell>
          <cell r="AS1777" t="str">
            <v>3421201002</v>
          </cell>
          <cell r="AT1777" t="str">
            <v/>
          </cell>
          <cell r="AU1777" t="str">
            <v>10</v>
          </cell>
          <cell r="AV1777" t="str">
            <v>10</v>
          </cell>
          <cell r="AW1777">
            <v>0</v>
          </cell>
          <cell r="AX1777">
            <v>0</v>
          </cell>
          <cell r="AY1777">
            <v>0</v>
          </cell>
          <cell r="AZ1777">
            <v>0</v>
          </cell>
          <cell r="BA1777">
            <v>0</v>
          </cell>
          <cell r="BD1777" t="str">
            <v/>
          </cell>
          <cell r="BE1777">
            <v>1</v>
          </cell>
          <cell r="BG1777" t="str">
            <v>1100</v>
          </cell>
        </row>
        <row r="1778">
          <cell r="B1778" t="str">
            <v>G342120106100300</v>
          </cell>
          <cell r="C1778" t="str">
            <v>34.広島県</v>
          </cell>
          <cell r="D1778" t="str">
            <v>212</v>
          </cell>
          <cell r="E1778" t="str">
            <v>東広島市</v>
          </cell>
          <cell r="F1778" t="str">
            <v>01</v>
          </cell>
          <cell r="G1778" t="str">
            <v>公共 単独</v>
          </cell>
          <cell r="H1778" t="str">
            <v>公共下水道</v>
          </cell>
          <cell r="I1778" t="str">
            <v>単独</v>
          </cell>
          <cell r="J1778" t="str">
            <v>003</v>
          </cell>
          <cell r="K1778" t="str">
            <v>安芸津浄化センター</v>
          </cell>
          <cell r="M1778" t="str">
            <v>1</v>
          </cell>
          <cell r="N1778" t="str">
            <v>1</v>
          </cell>
          <cell r="Q1778">
            <v>39168</v>
          </cell>
          <cell r="R1778" t="str">
            <v>平成</v>
          </cell>
          <cell r="S1778">
            <v>19</v>
          </cell>
          <cell r="T1778">
            <v>3</v>
          </cell>
          <cell r="AB1778">
            <v>2600</v>
          </cell>
          <cell r="AC1778" t="str">
            <v>安芸津･安浦地先海域</v>
          </cell>
          <cell r="AD1778" t="str">
            <v>Ａ</v>
          </cell>
          <cell r="AE1778" t="str">
            <v>イ</v>
          </cell>
          <cell r="AF1778">
            <v>15</v>
          </cell>
          <cell r="AI1778" t="str">
            <v>安芸津･安浦地先海域</v>
          </cell>
          <cell r="AQ1778" t="str">
            <v/>
          </cell>
          <cell r="AR1778" t="str">
            <v>オキシディションディッチ法</v>
          </cell>
          <cell r="AS1778" t="str">
            <v>3421201003</v>
          </cell>
          <cell r="AT1778" t="str">
            <v/>
          </cell>
          <cell r="AU1778" t="str">
            <v>10</v>
          </cell>
          <cell r="AV1778" t="str">
            <v>10</v>
          </cell>
          <cell r="AW1778">
            <v>0</v>
          </cell>
          <cell r="AX1778">
            <v>0</v>
          </cell>
          <cell r="AY1778">
            <v>0</v>
          </cell>
          <cell r="AZ1778">
            <v>0</v>
          </cell>
          <cell r="BA1778">
            <v>0</v>
          </cell>
          <cell r="BD1778" t="str">
            <v/>
          </cell>
          <cell r="BE1778">
            <v>1</v>
          </cell>
          <cell r="BG1778" t="str">
            <v>1100</v>
          </cell>
        </row>
        <row r="1779">
          <cell r="B1779" t="str">
            <v>G342120206100400</v>
          </cell>
          <cell r="C1779" t="str">
            <v>34.広島県</v>
          </cell>
          <cell r="D1779" t="str">
            <v>212</v>
          </cell>
          <cell r="E1779" t="str">
            <v>東広島市</v>
          </cell>
          <cell r="F1779" t="str">
            <v>02</v>
          </cell>
          <cell r="G1779" t="str">
            <v>特環 単独</v>
          </cell>
          <cell r="H1779" t="str">
            <v>特定環境保全公共下水道</v>
          </cell>
          <cell r="I1779" t="str">
            <v>単独</v>
          </cell>
          <cell r="J1779" t="str">
            <v>004</v>
          </cell>
          <cell r="K1779" t="str">
            <v>福富浄化センター</v>
          </cell>
          <cell r="M1779" t="str">
            <v>1</v>
          </cell>
          <cell r="N1779" t="str">
            <v>1</v>
          </cell>
          <cell r="Q1779">
            <v>35886</v>
          </cell>
          <cell r="R1779" t="str">
            <v>平成</v>
          </cell>
          <cell r="S1779">
            <v>10</v>
          </cell>
          <cell r="T1779">
            <v>4</v>
          </cell>
          <cell r="AB1779">
            <v>3200</v>
          </cell>
          <cell r="AC1779" t="str">
            <v>燧灘</v>
          </cell>
          <cell r="AD1779" t="str">
            <v>Ａ</v>
          </cell>
          <cell r="AE1779" t="str">
            <v>イ</v>
          </cell>
          <cell r="AF1779">
            <v>15</v>
          </cell>
          <cell r="AI1779" t="str">
            <v>谷河内川</v>
          </cell>
          <cell r="AJ1779" t="str">
            <v>沼田川</v>
          </cell>
          <cell r="AQ1779" t="str">
            <v/>
          </cell>
          <cell r="AR1779" t="str">
            <v>長時間エアレーション法</v>
          </cell>
          <cell r="AS1779" t="str">
            <v>3421202004</v>
          </cell>
          <cell r="AT1779" t="str">
            <v/>
          </cell>
          <cell r="AU1779" t="str">
            <v>10</v>
          </cell>
          <cell r="AV1779" t="str">
            <v>10</v>
          </cell>
          <cell r="AW1779">
            <v>0</v>
          </cell>
          <cell r="AX1779">
            <v>0</v>
          </cell>
          <cell r="AY1779">
            <v>0</v>
          </cell>
          <cell r="AZ1779">
            <v>0</v>
          </cell>
          <cell r="BA1779">
            <v>0</v>
          </cell>
          <cell r="BD1779" t="str">
            <v/>
          </cell>
          <cell r="BE1779">
            <v>1</v>
          </cell>
          <cell r="BG1779" t="str">
            <v>1100</v>
          </cell>
        </row>
        <row r="1780">
          <cell r="B1780" t="str">
            <v>G342120206100500</v>
          </cell>
          <cell r="C1780" t="str">
            <v>34.広島県</v>
          </cell>
          <cell r="D1780" t="str">
            <v>212</v>
          </cell>
          <cell r="E1780" t="str">
            <v>東広島市</v>
          </cell>
          <cell r="F1780" t="str">
            <v>02</v>
          </cell>
          <cell r="G1780" t="str">
            <v>特環 単独</v>
          </cell>
          <cell r="H1780" t="str">
            <v>特定環境保全公共下水道</v>
          </cell>
          <cell r="I1780" t="str">
            <v>単独</v>
          </cell>
          <cell r="J1780" t="str">
            <v>005</v>
          </cell>
          <cell r="K1780" t="str">
            <v>豊栄浄化センター</v>
          </cell>
          <cell r="M1780" t="str">
            <v>1</v>
          </cell>
          <cell r="N1780" t="str">
            <v>1</v>
          </cell>
          <cell r="Q1780">
            <v>36616</v>
          </cell>
          <cell r="R1780" t="str">
            <v>平成</v>
          </cell>
          <cell r="S1780">
            <v>12</v>
          </cell>
          <cell r="T1780">
            <v>3</v>
          </cell>
          <cell r="AB1780">
            <v>4300</v>
          </cell>
          <cell r="AC1780" t="str">
            <v>燧灘</v>
          </cell>
          <cell r="AD1780" t="str">
            <v>Ａ</v>
          </cell>
          <cell r="AE1780" t="str">
            <v>イ</v>
          </cell>
          <cell r="AF1780">
            <v>15</v>
          </cell>
          <cell r="AI1780" t="str">
            <v>椋梨川</v>
          </cell>
          <cell r="AJ1780" t="str">
            <v>沼田川</v>
          </cell>
          <cell r="AQ1780" t="str">
            <v/>
          </cell>
          <cell r="AR1780" t="str">
            <v>オキシディションディッチ法</v>
          </cell>
          <cell r="AS1780" t="str">
            <v>3421202005</v>
          </cell>
          <cell r="AT1780" t="str">
            <v/>
          </cell>
          <cell r="AU1780" t="str">
            <v>10</v>
          </cell>
          <cell r="AV1780" t="str">
            <v>10</v>
          </cell>
          <cell r="AW1780">
            <v>0</v>
          </cell>
          <cell r="AX1780">
            <v>0</v>
          </cell>
          <cell r="AY1780">
            <v>0</v>
          </cell>
          <cell r="AZ1780">
            <v>0</v>
          </cell>
          <cell r="BA1780">
            <v>0</v>
          </cell>
          <cell r="BD1780" t="str">
            <v/>
          </cell>
          <cell r="BE1780">
            <v>1</v>
          </cell>
          <cell r="BG1780" t="str">
            <v>1100</v>
          </cell>
        </row>
        <row r="1781">
          <cell r="B1781" t="str">
            <v>G342130106100100</v>
          </cell>
          <cell r="C1781" t="str">
            <v>34.広島県</v>
          </cell>
          <cell r="D1781" t="str">
            <v>213</v>
          </cell>
          <cell r="E1781" t="str">
            <v>廿日市市</v>
          </cell>
          <cell r="F1781" t="str">
            <v>01</v>
          </cell>
          <cell r="G1781" t="str">
            <v>公共 単独</v>
          </cell>
          <cell r="H1781" t="str">
            <v>公共下水道</v>
          </cell>
          <cell r="I1781" t="str">
            <v>単独</v>
          </cell>
          <cell r="J1781" t="str">
            <v>001</v>
          </cell>
          <cell r="K1781" t="str">
            <v>宮島水質管理センター</v>
          </cell>
          <cell r="M1781" t="str">
            <v>1</v>
          </cell>
          <cell r="N1781" t="str">
            <v>1</v>
          </cell>
          <cell r="Q1781">
            <v>30225</v>
          </cell>
          <cell r="R1781" t="str">
            <v>昭和</v>
          </cell>
          <cell r="S1781">
            <v>57</v>
          </cell>
          <cell r="T1781">
            <v>10</v>
          </cell>
          <cell r="AB1781">
            <v>11060</v>
          </cell>
          <cell r="AC1781" t="str">
            <v>広島湾西部水域</v>
          </cell>
          <cell r="AD1781" t="str">
            <v>Ａ</v>
          </cell>
          <cell r="AE1781" t="str">
            <v>イ</v>
          </cell>
          <cell r="AF1781">
            <v>15</v>
          </cell>
          <cell r="AG1781">
            <v>20</v>
          </cell>
          <cell r="AH1781">
            <v>2</v>
          </cell>
          <cell r="AI1781" t="str">
            <v>広島湾西部水域</v>
          </cell>
          <cell r="AQ1781" t="str">
            <v/>
          </cell>
          <cell r="AR1781" t="str">
            <v>標準活性汚泥法</v>
          </cell>
          <cell r="AS1781" t="str">
            <v>3421301001</v>
          </cell>
          <cell r="AT1781" t="str">
            <v/>
          </cell>
          <cell r="AU1781" t="str">
            <v>10</v>
          </cell>
          <cell r="AV1781" t="str">
            <v>10</v>
          </cell>
          <cell r="AW1781">
            <v>0</v>
          </cell>
          <cell r="AX1781">
            <v>0</v>
          </cell>
          <cell r="AY1781">
            <v>0</v>
          </cell>
          <cell r="AZ1781">
            <v>0</v>
          </cell>
          <cell r="BA1781">
            <v>0</v>
          </cell>
          <cell r="BD1781" t="str">
            <v/>
          </cell>
          <cell r="BE1781">
            <v>1</v>
          </cell>
          <cell r="BG1781" t="str">
            <v>1100</v>
          </cell>
        </row>
        <row r="1782">
          <cell r="B1782" t="str">
            <v>G342130106100200</v>
          </cell>
          <cell r="C1782" t="str">
            <v>34.広島県</v>
          </cell>
          <cell r="D1782" t="str">
            <v>213</v>
          </cell>
          <cell r="E1782" t="str">
            <v>廿日市市</v>
          </cell>
          <cell r="F1782" t="str">
            <v>01</v>
          </cell>
          <cell r="G1782" t="str">
            <v>公共 単独</v>
          </cell>
          <cell r="H1782" t="str">
            <v>公共下水道</v>
          </cell>
          <cell r="I1782" t="str">
            <v>単独</v>
          </cell>
          <cell r="J1782" t="str">
            <v>002</v>
          </cell>
          <cell r="K1782" t="str">
            <v>大野浄化センター</v>
          </cell>
          <cell r="M1782" t="str">
            <v>1</v>
          </cell>
          <cell r="N1782" t="str">
            <v>1</v>
          </cell>
          <cell r="Q1782">
            <v>33329</v>
          </cell>
          <cell r="R1782" t="str">
            <v>平成</v>
          </cell>
          <cell r="S1782">
            <v>3</v>
          </cell>
          <cell r="T1782">
            <v>4</v>
          </cell>
          <cell r="AB1782">
            <v>58000</v>
          </cell>
          <cell r="AC1782" t="str">
            <v>広島湾西部水域</v>
          </cell>
          <cell r="AD1782" t="str">
            <v>Ａ</v>
          </cell>
          <cell r="AE1782" t="str">
            <v>イ</v>
          </cell>
          <cell r="AF1782">
            <v>15</v>
          </cell>
          <cell r="AG1782">
            <v>20</v>
          </cell>
          <cell r="AH1782">
            <v>2</v>
          </cell>
          <cell r="AI1782" t="str">
            <v>広島湾西部水域</v>
          </cell>
          <cell r="AQ1782" t="str">
            <v/>
          </cell>
          <cell r="AR1782" t="str">
            <v>標準活性汚泥法</v>
          </cell>
          <cell r="AS1782" t="str">
            <v>3421301002</v>
          </cell>
          <cell r="AT1782" t="str">
            <v/>
          </cell>
          <cell r="AU1782" t="str">
            <v>10</v>
          </cell>
          <cell r="AV1782" t="str">
            <v>10</v>
          </cell>
          <cell r="AW1782">
            <v>0</v>
          </cell>
          <cell r="AX1782">
            <v>0</v>
          </cell>
          <cell r="AY1782">
            <v>0</v>
          </cell>
          <cell r="AZ1782">
            <v>0</v>
          </cell>
          <cell r="BA1782">
            <v>0</v>
          </cell>
          <cell r="BD1782" t="str">
            <v/>
          </cell>
          <cell r="BE1782">
            <v>1</v>
          </cell>
          <cell r="BG1782" t="str">
            <v>1100</v>
          </cell>
        </row>
        <row r="1783">
          <cell r="B1783" t="str">
            <v>G342130106100300</v>
          </cell>
          <cell r="C1783" t="str">
            <v>34.広島県</v>
          </cell>
          <cell r="D1783" t="str">
            <v>213</v>
          </cell>
          <cell r="E1783" t="str">
            <v>廿日市市</v>
          </cell>
          <cell r="F1783" t="str">
            <v>01</v>
          </cell>
          <cell r="G1783" t="str">
            <v>公共 単独</v>
          </cell>
          <cell r="H1783" t="str">
            <v>公共下水道</v>
          </cell>
          <cell r="I1783" t="str">
            <v>単独</v>
          </cell>
          <cell r="J1783" t="str">
            <v>003</v>
          </cell>
          <cell r="K1783" t="str">
            <v>廿日市市浄化センター</v>
          </cell>
          <cell r="M1783" t="str">
            <v>1</v>
          </cell>
          <cell r="N1783" t="str">
            <v>1</v>
          </cell>
          <cell r="Q1783">
            <v>34547</v>
          </cell>
          <cell r="R1783" t="str">
            <v>平成</v>
          </cell>
          <cell r="S1783">
            <v>6</v>
          </cell>
          <cell r="T1783">
            <v>8</v>
          </cell>
          <cell r="U1783" t="str">
            <v>名称変更</v>
          </cell>
          <cell r="V1783">
            <v>41426</v>
          </cell>
          <cell r="W1783" t="str">
            <v>平成</v>
          </cell>
          <cell r="X1783">
            <v>25</v>
          </cell>
          <cell r="Y1783">
            <v>6</v>
          </cell>
          <cell r="Z1783" t="str">
            <v>廿日市市浄化センター</v>
          </cell>
          <cell r="AB1783">
            <v>82980</v>
          </cell>
          <cell r="AC1783" t="str">
            <v>広島湾（五日市・廿日市地先海域）</v>
          </cell>
          <cell r="AD1783" t="str">
            <v>Ａ</v>
          </cell>
          <cell r="AE1783" t="str">
            <v>ハ</v>
          </cell>
          <cell r="AF1783">
            <v>15</v>
          </cell>
          <cell r="AG1783">
            <v>20</v>
          </cell>
          <cell r="AH1783">
            <v>3</v>
          </cell>
          <cell r="AI1783" t="str">
            <v>広島湾（五日市・廿日市地先海域）</v>
          </cell>
          <cell r="AQ1783" t="str">
            <v/>
          </cell>
          <cell r="AR1783" t="str">
            <v>標準活性汚泥法</v>
          </cell>
          <cell r="AS1783" t="str">
            <v>3421301003</v>
          </cell>
          <cell r="AT1783" t="str">
            <v/>
          </cell>
          <cell r="AU1783" t="str">
            <v>10</v>
          </cell>
          <cell r="AV1783" t="str">
            <v>10</v>
          </cell>
          <cell r="AW1783">
            <v>0</v>
          </cell>
          <cell r="AX1783">
            <v>0</v>
          </cell>
          <cell r="AY1783">
            <v>0</v>
          </cell>
          <cell r="AZ1783">
            <v>0</v>
          </cell>
          <cell r="BA1783">
            <v>0</v>
          </cell>
          <cell r="BD1783" t="str">
            <v/>
          </cell>
          <cell r="BE1783">
            <v>1</v>
          </cell>
          <cell r="BG1783" t="str">
            <v>1100</v>
          </cell>
        </row>
        <row r="1784">
          <cell r="B1784" t="str">
            <v>G342130206100400</v>
          </cell>
          <cell r="C1784" t="str">
            <v>34.広島県</v>
          </cell>
          <cell r="D1784" t="str">
            <v>213</v>
          </cell>
          <cell r="E1784" t="str">
            <v>廿日市市</v>
          </cell>
          <cell r="F1784" t="str">
            <v>02</v>
          </cell>
          <cell r="G1784" t="str">
            <v>特環 単独</v>
          </cell>
          <cell r="H1784" t="str">
            <v>特定環境保全公共下水道</v>
          </cell>
          <cell r="I1784" t="str">
            <v>単独</v>
          </cell>
          <cell r="J1784" t="str">
            <v>004</v>
          </cell>
          <cell r="K1784" t="str">
            <v>吉和水質管理センター</v>
          </cell>
          <cell r="M1784" t="str">
            <v>1</v>
          </cell>
          <cell r="N1784" t="str">
            <v>1</v>
          </cell>
          <cell r="Q1784">
            <v>36982</v>
          </cell>
          <cell r="R1784" t="str">
            <v>平成</v>
          </cell>
          <cell r="S1784">
            <v>13</v>
          </cell>
          <cell r="T1784">
            <v>4</v>
          </cell>
          <cell r="AB1784">
            <v>4511</v>
          </cell>
          <cell r="AC1784" t="str">
            <v>太田川</v>
          </cell>
          <cell r="AD1784" t="str">
            <v>ＡＡ</v>
          </cell>
          <cell r="AE1784" t="str">
            <v>イ</v>
          </cell>
          <cell r="AK1784" t="str">
            <v>太田川</v>
          </cell>
          <cell r="AQ1784" t="str">
            <v/>
          </cell>
          <cell r="AR1784" t="str">
            <v>オキシディションディッチ法</v>
          </cell>
          <cell r="AS1784" t="str">
            <v>3421302004</v>
          </cell>
          <cell r="AT1784" t="str">
            <v/>
          </cell>
          <cell r="AU1784" t="str">
            <v>10</v>
          </cell>
          <cell r="AV1784" t="str">
            <v>10</v>
          </cell>
          <cell r="AW1784">
            <v>0</v>
          </cell>
          <cell r="AX1784">
            <v>0</v>
          </cell>
          <cell r="AY1784">
            <v>0</v>
          </cell>
          <cell r="AZ1784">
            <v>0</v>
          </cell>
          <cell r="BA1784">
            <v>0</v>
          </cell>
          <cell r="BD1784" t="str">
            <v/>
          </cell>
          <cell r="BE1784">
            <v>1</v>
          </cell>
          <cell r="BG1784" t="str">
            <v>1100</v>
          </cell>
        </row>
        <row r="1785">
          <cell r="B1785" t="str">
            <v>G342130206100500</v>
          </cell>
          <cell r="C1785" t="str">
            <v>34.広島県</v>
          </cell>
          <cell r="D1785" t="str">
            <v>213</v>
          </cell>
          <cell r="E1785" t="str">
            <v>廿日市市</v>
          </cell>
          <cell r="F1785" t="str">
            <v>02</v>
          </cell>
          <cell r="G1785" t="str">
            <v>特環 単独</v>
          </cell>
          <cell r="H1785" t="str">
            <v>特定環境保全公共下水道</v>
          </cell>
          <cell r="I1785" t="str">
            <v>単独</v>
          </cell>
          <cell r="J1785" t="str">
            <v>005</v>
          </cell>
          <cell r="K1785" t="str">
            <v>友和浄化センター</v>
          </cell>
          <cell r="M1785" t="str">
            <v>1</v>
          </cell>
          <cell r="N1785" t="str">
            <v>1</v>
          </cell>
          <cell r="Q1785">
            <v>37681</v>
          </cell>
          <cell r="R1785" t="str">
            <v>平成</v>
          </cell>
          <cell r="S1785">
            <v>15</v>
          </cell>
          <cell r="T1785">
            <v>3</v>
          </cell>
          <cell r="AB1785">
            <v>17262</v>
          </cell>
          <cell r="AC1785" t="str">
            <v>玖島川</v>
          </cell>
          <cell r="AD1785" t="str">
            <v>Ａ</v>
          </cell>
          <cell r="AE1785" t="str">
            <v>イ</v>
          </cell>
          <cell r="AK1785" t="str">
            <v>玖島川</v>
          </cell>
          <cell r="AL1785" t="str">
            <v>弥栄ダム</v>
          </cell>
          <cell r="AN1785">
            <v>26</v>
          </cell>
          <cell r="AO1785" t="str">
            <v>広島県、山口県</v>
          </cell>
          <cell r="AQ1785" t="str">
            <v/>
          </cell>
          <cell r="AR1785" t="str">
            <v>オキシディションディッチ法</v>
          </cell>
          <cell r="AS1785" t="str">
            <v>3421302005</v>
          </cell>
          <cell r="AT1785" t="str">
            <v/>
          </cell>
          <cell r="AU1785" t="str">
            <v>10</v>
          </cell>
          <cell r="AV1785" t="str">
            <v>10</v>
          </cell>
          <cell r="AW1785">
            <v>0</v>
          </cell>
          <cell r="AX1785">
            <v>0</v>
          </cell>
          <cell r="AY1785">
            <v>0</v>
          </cell>
          <cell r="AZ1785">
            <v>0</v>
          </cell>
          <cell r="BA1785">
            <v>0</v>
          </cell>
          <cell r="BD1785" t="str">
            <v/>
          </cell>
          <cell r="BE1785">
            <v>1</v>
          </cell>
          <cell r="BG1785" t="str">
            <v>1100</v>
          </cell>
        </row>
        <row r="1786">
          <cell r="B1786" t="str">
            <v>G342140106100100</v>
          </cell>
          <cell r="C1786" t="str">
            <v>34.広島県</v>
          </cell>
          <cell r="D1786" t="str">
            <v>214</v>
          </cell>
          <cell r="E1786" t="str">
            <v>安芸高田市</v>
          </cell>
          <cell r="F1786" t="str">
            <v>01</v>
          </cell>
          <cell r="G1786" t="str">
            <v>公共 単独</v>
          </cell>
          <cell r="H1786" t="str">
            <v>公共下水道</v>
          </cell>
          <cell r="I1786" t="str">
            <v>単独</v>
          </cell>
          <cell r="J1786" t="str">
            <v>001</v>
          </cell>
          <cell r="K1786" t="str">
            <v>吉田浄化センター</v>
          </cell>
          <cell r="M1786" t="str">
            <v>1</v>
          </cell>
          <cell r="N1786" t="str">
            <v>1</v>
          </cell>
          <cell r="Q1786">
            <v>37073</v>
          </cell>
          <cell r="R1786" t="str">
            <v>平成</v>
          </cell>
          <cell r="S1786">
            <v>13</v>
          </cell>
          <cell r="T1786">
            <v>7</v>
          </cell>
          <cell r="AB1786">
            <v>4600</v>
          </cell>
          <cell r="AC1786" t="str">
            <v>江の川</v>
          </cell>
          <cell r="AD1786" t="str">
            <v>Ａ</v>
          </cell>
          <cell r="AE1786" t="str">
            <v>イ</v>
          </cell>
          <cell r="AF1786">
            <v>15</v>
          </cell>
          <cell r="AK1786" t="str">
            <v>江の川</v>
          </cell>
          <cell r="AL1786" t="str">
            <v>吉田町第一取水場</v>
          </cell>
          <cell r="AM1786">
            <v>0.7</v>
          </cell>
          <cell r="AO1786" t="str">
            <v>安芸高田市</v>
          </cell>
          <cell r="AQ1786" t="str">
            <v/>
          </cell>
          <cell r="AR1786" t="str">
            <v>標準活性汚泥法</v>
          </cell>
          <cell r="AS1786" t="str">
            <v>3421401001</v>
          </cell>
          <cell r="AT1786" t="str">
            <v/>
          </cell>
          <cell r="AU1786" t="str">
            <v>10</v>
          </cell>
          <cell r="AV1786" t="str">
            <v>10</v>
          </cell>
          <cell r="AW1786">
            <v>0</v>
          </cell>
          <cell r="AX1786">
            <v>0</v>
          </cell>
          <cell r="AY1786">
            <v>0</v>
          </cell>
          <cell r="AZ1786">
            <v>0</v>
          </cell>
          <cell r="BA1786">
            <v>0</v>
          </cell>
          <cell r="BD1786" t="str">
            <v/>
          </cell>
          <cell r="BE1786">
            <v>1</v>
          </cell>
          <cell r="BG1786" t="str">
            <v>1100</v>
          </cell>
        </row>
        <row r="1787">
          <cell r="B1787" t="str">
            <v>G342140206100200</v>
          </cell>
          <cell r="C1787" t="str">
            <v>34.広島県</v>
          </cell>
          <cell r="D1787" t="str">
            <v>214</v>
          </cell>
          <cell r="E1787" t="str">
            <v>安芸高田市</v>
          </cell>
          <cell r="F1787" t="str">
            <v>02</v>
          </cell>
          <cell r="G1787" t="str">
            <v>特環 単独</v>
          </cell>
          <cell r="H1787" t="str">
            <v>特定環境保全公共下水道</v>
          </cell>
          <cell r="I1787" t="str">
            <v>単独</v>
          </cell>
          <cell r="J1787" t="str">
            <v>002</v>
          </cell>
          <cell r="K1787" t="str">
            <v>向原中央浄化センター</v>
          </cell>
          <cell r="M1787" t="str">
            <v>1</v>
          </cell>
          <cell r="N1787" t="str">
            <v>1</v>
          </cell>
          <cell r="Q1787">
            <v>34425</v>
          </cell>
          <cell r="R1787" t="str">
            <v>平成</v>
          </cell>
          <cell r="S1787">
            <v>6</v>
          </cell>
          <cell r="T1787">
            <v>4</v>
          </cell>
          <cell r="AB1787">
            <v>2470</v>
          </cell>
          <cell r="AC1787" t="str">
            <v>三篠川</v>
          </cell>
          <cell r="AD1787" t="str">
            <v>Ａ</v>
          </cell>
          <cell r="AE1787" t="str">
            <v>イ</v>
          </cell>
          <cell r="AF1787">
            <v>10</v>
          </cell>
          <cell r="AG1787">
            <v>25</v>
          </cell>
          <cell r="AH1787">
            <v>3</v>
          </cell>
          <cell r="AI1787" t="str">
            <v>大迫川</v>
          </cell>
          <cell r="AK1787" t="str">
            <v>三篠川</v>
          </cell>
          <cell r="AL1787" t="str">
            <v>高瀬堰</v>
          </cell>
          <cell r="AN1787">
            <v>30</v>
          </cell>
          <cell r="AO1787" t="str">
            <v>広島市</v>
          </cell>
          <cell r="AQ1787" t="str">
            <v/>
          </cell>
          <cell r="AR1787" t="str">
            <v>接触酸化法</v>
          </cell>
          <cell r="AS1787" t="str">
            <v>3421402002</v>
          </cell>
          <cell r="AT1787" t="str">
            <v/>
          </cell>
          <cell r="AU1787" t="str">
            <v>10</v>
          </cell>
          <cell r="AV1787" t="str">
            <v>10</v>
          </cell>
          <cell r="AW1787">
            <v>0</v>
          </cell>
          <cell r="AX1787">
            <v>0</v>
          </cell>
          <cell r="AY1787">
            <v>0</v>
          </cell>
          <cell r="AZ1787">
            <v>0</v>
          </cell>
          <cell r="BA1787">
            <v>0</v>
          </cell>
          <cell r="BD1787" t="str">
            <v/>
          </cell>
          <cell r="BE1787">
            <v>1</v>
          </cell>
          <cell r="BG1787" t="str">
            <v>1100</v>
          </cell>
        </row>
        <row r="1788">
          <cell r="B1788" t="str">
            <v>G342140206100300</v>
          </cell>
          <cell r="C1788" t="str">
            <v>34.広島県</v>
          </cell>
          <cell r="D1788" t="str">
            <v>214</v>
          </cell>
          <cell r="E1788" t="str">
            <v>安芸高田市</v>
          </cell>
          <cell r="F1788" t="str">
            <v>02</v>
          </cell>
          <cell r="G1788" t="str">
            <v>特環 単独</v>
          </cell>
          <cell r="H1788" t="str">
            <v>特定環境保全公共下水道</v>
          </cell>
          <cell r="I1788" t="str">
            <v>単独</v>
          </cell>
          <cell r="J1788" t="str">
            <v>003</v>
          </cell>
          <cell r="K1788" t="str">
            <v>甲田浄化センター</v>
          </cell>
          <cell r="M1788" t="str">
            <v>1</v>
          </cell>
          <cell r="N1788" t="str">
            <v>1</v>
          </cell>
          <cell r="Q1788">
            <v>36069</v>
          </cell>
          <cell r="R1788" t="str">
            <v>平成</v>
          </cell>
          <cell r="S1788">
            <v>10</v>
          </cell>
          <cell r="T1788">
            <v>10</v>
          </cell>
          <cell r="AB1788">
            <v>6500</v>
          </cell>
          <cell r="AC1788" t="str">
            <v>大土川</v>
          </cell>
          <cell r="AD1788" t="str">
            <v>Ａ</v>
          </cell>
          <cell r="AE1788" t="str">
            <v>イ</v>
          </cell>
          <cell r="AF1788">
            <v>15</v>
          </cell>
          <cell r="AK1788" t="str">
            <v>大土川</v>
          </cell>
          <cell r="AQ1788" t="str">
            <v/>
          </cell>
          <cell r="AR1788" t="str">
            <v>オキシディションディッチ法</v>
          </cell>
          <cell r="AS1788" t="str">
            <v>3421402003</v>
          </cell>
          <cell r="AT1788" t="str">
            <v/>
          </cell>
          <cell r="AU1788" t="str">
            <v>10</v>
          </cell>
          <cell r="AV1788" t="str">
            <v>10</v>
          </cell>
          <cell r="AW1788">
            <v>0</v>
          </cell>
          <cell r="AX1788">
            <v>0</v>
          </cell>
          <cell r="AY1788">
            <v>0</v>
          </cell>
          <cell r="AZ1788">
            <v>0</v>
          </cell>
          <cell r="BA1788">
            <v>0</v>
          </cell>
          <cell r="BD1788" t="str">
            <v/>
          </cell>
          <cell r="BE1788">
            <v>1</v>
          </cell>
          <cell r="BG1788" t="str">
            <v>1100</v>
          </cell>
        </row>
        <row r="1789">
          <cell r="B1789" t="str">
            <v>G342140206100400</v>
          </cell>
          <cell r="C1789" t="str">
            <v>34.広島県</v>
          </cell>
          <cell r="D1789" t="str">
            <v>214</v>
          </cell>
          <cell r="E1789" t="str">
            <v>安芸高田市</v>
          </cell>
          <cell r="F1789" t="str">
            <v>02</v>
          </cell>
          <cell r="G1789" t="str">
            <v>特環 単独</v>
          </cell>
          <cell r="H1789" t="str">
            <v>特定環境保全公共下水道</v>
          </cell>
          <cell r="I1789" t="str">
            <v>単独</v>
          </cell>
          <cell r="J1789" t="str">
            <v>004</v>
          </cell>
          <cell r="K1789" t="str">
            <v>八千代浄化センター</v>
          </cell>
          <cell r="M1789" t="str">
            <v>1</v>
          </cell>
          <cell r="N1789" t="str">
            <v>1</v>
          </cell>
          <cell r="Q1789">
            <v>39356</v>
          </cell>
          <cell r="R1789" t="str">
            <v>平成</v>
          </cell>
          <cell r="S1789">
            <v>19</v>
          </cell>
          <cell r="T1789">
            <v>10</v>
          </cell>
          <cell r="AB1789">
            <v>11500</v>
          </cell>
          <cell r="AC1789" t="str">
            <v>江の川</v>
          </cell>
          <cell r="AD1789" t="str">
            <v>Ａ</v>
          </cell>
          <cell r="AE1789" t="str">
            <v>イ</v>
          </cell>
          <cell r="AF1789">
            <v>15</v>
          </cell>
          <cell r="AK1789" t="str">
            <v>簸の川</v>
          </cell>
          <cell r="AQ1789" t="str">
            <v/>
          </cell>
          <cell r="AR1789" t="str">
            <v>オキシディションディッチ法</v>
          </cell>
          <cell r="AS1789" t="str">
            <v>3421402004</v>
          </cell>
          <cell r="AT1789" t="str">
            <v/>
          </cell>
          <cell r="AU1789" t="str">
            <v>10</v>
          </cell>
          <cell r="AV1789" t="str">
            <v>10</v>
          </cell>
          <cell r="AW1789">
            <v>0</v>
          </cell>
          <cell r="AX1789">
            <v>0</v>
          </cell>
          <cell r="AY1789">
            <v>0</v>
          </cell>
          <cell r="AZ1789">
            <v>0</v>
          </cell>
          <cell r="BA1789">
            <v>0</v>
          </cell>
          <cell r="BD1789" t="str">
            <v/>
          </cell>
          <cell r="BE1789">
            <v>1</v>
          </cell>
          <cell r="BG1789" t="str">
            <v>1100</v>
          </cell>
        </row>
        <row r="1790">
          <cell r="B1790" t="str">
            <v>G342150106100100</v>
          </cell>
          <cell r="C1790" t="str">
            <v>34.広島県</v>
          </cell>
          <cell r="D1790" t="str">
            <v>215</v>
          </cell>
          <cell r="E1790" t="str">
            <v>江田島市</v>
          </cell>
          <cell r="F1790" t="str">
            <v>01</v>
          </cell>
          <cell r="G1790" t="str">
            <v>公共 単独</v>
          </cell>
          <cell r="H1790" t="str">
            <v>公共下水道</v>
          </cell>
          <cell r="I1790" t="str">
            <v>単独</v>
          </cell>
          <cell r="J1790" t="str">
            <v>001</v>
          </cell>
          <cell r="K1790" t="str">
            <v>江田島中央浄化センター</v>
          </cell>
          <cell r="M1790" t="str">
            <v>1</v>
          </cell>
          <cell r="N1790" t="str">
            <v>1</v>
          </cell>
          <cell r="Q1790">
            <v>35582</v>
          </cell>
          <cell r="R1790" t="str">
            <v>平成</v>
          </cell>
          <cell r="S1790">
            <v>9</v>
          </cell>
          <cell r="T1790">
            <v>6</v>
          </cell>
          <cell r="AB1790">
            <v>19070</v>
          </cell>
          <cell r="AC1790" t="str">
            <v>広島湾水域</v>
          </cell>
          <cell r="AD1790" t="str">
            <v>Ａ</v>
          </cell>
          <cell r="AE1790" t="str">
            <v>イ</v>
          </cell>
          <cell r="AF1790">
            <v>15</v>
          </cell>
          <cell r="AG1790">
            <v>20</v>
          </cell>
          <cell r="AH1790">
            <v>2</v>
          </cell>
          <cell r="AI1790" t="str">
            <v>広島湾</v>
          </cell>
          <cell r="AQ1790" t="str">
            <v/>
          </cell>
          <cell r="AR1790" t="str">
            <v>オキシディションディッチ法</v>
          </cell>
          <cell r="AS1790" t="str">
            <v>3421501001</v>
          </cell>
          <cell r="AT1790" t="str">
            <v/>
          </cell>
          <cell r="AU1790" t="str">
            <v>10</v>
          </cell>
          <cell r="AV1790" t="str">
            <v>10</v>
          </cell>
          <cell r="AW1790">
            <v>0</v>
          </cell>
          <cell r="AX1790">
            <v>0</v>
          </cell>
          <cell r="AY1790">
            <v>0</v>
          </cell>
          <cell r="AZ1790">
            <v>0</v>
          </cell>
          <cell r="BA1790">
            <v>0</v>
          </cell>
          <cell r="BD1790" t="str">
            <v/>
          </cell>
          <cell r="BE1790">
            <v>1</v>
          </cell>
          <cell r="BG1790" t="str">
            <v>1100</v>
          </cell>
        </row>
        <row r="1791">
          <cell r="B1791" t="str">
            <v>G342150206100200</v>
          </cell>
          <cell r="C1791" t="str">
            <v>34.広島県</v>
          </cell>
          <cell r="D1791" t="str">
            <v>215</v>
          </cell>
          <cell r="E1791" t="str">
            <v>江田島市</v>
          </cell>
          <cell r="F1791" t="str">
            <v>02</v>
          </cell>
          <cell r="G1791" t="str">
            <v>特環 単独</v>
          </cell>
          <cell r="H1791" t="str">
            <v>特定環境保全公共下水道</v>
          </cell>
          <cell r="I1791" t="str">
            <v>単独</v>
          </cell>
          <cell r="J1791" t="str">
            <v>002</v>
          </cell>
          <cell r="K1791" t="str">
            <v>中田浄化センター</v>
          </cell>
          <cell r="M1791" t="str">
            <v>1</v>
          </cell>
          <cell r="N1791" t="str">
            <v>1</v>
          </cell>
          <cell r="Q1791">
            <v>34425</v>
          </cell>
          <cell r="R1791" t="str">
            <v>平成</v>
          </cell>
          <cell r="S1791">
            <v>6</v>
          </cell>
          <cell r="T1791">
            <v>4</v>
          </cell>
          <cell r="AB1791">
            <v>5100</v>
          </cell>
          <cell r="AC1791" t="str">
            <v>広島湾水域</v>
          </cell>
          <cell r="AD1791" t="str">
            <v>Ａ</v>
          </cell>
          <cell r="AE1791" t="str">
            <v>イ</v>
          </cell>
          <cell r="AF1791">
            <v>10</v>
          </cell>
          <cell r="AG1791">
            <v>20</v>
          </cell>
          <cell r="AH1791">
            <v>2</v>
          </cell>
          <cell r="AI1791" t="str">
            <v>広島湾</v>
          </cell>
          <cell r="AQ1791" t="str">
            <v/>
          </cell>
          <cell r="AR1791" t="str">
            <v>高度処理オキシディションディッチ法</v>
          </cell>
          <cell r="AS1791" t="str">
            <v>3421502002</v>
          </cell>
          <cell r="AT1791" t="str">
            <v/>
          </cell>
          <cell r="AU1791" t="str">
            <v>10</v>
          </cell>
          <cell r="AV1791" t="str">
            <v>10</v>
          </cell>
          <cell r="AW1791">
            <v>0</v>
          </cell>
          <cell r="AX1791">
            <v>0</v>
          </cell>
          <cell r="AY1791">
            <v>0</v>
          </cell>
          <cell r="AZ1791">
            <v>0</v>
          </cell>
          <cell r="BA1791">
            <v>0</v>
          </cell>
          <cell r="BD1791" t="str">
            <v/>
          </cell>
          <cell r="BE1791">
            <v>1</v>
          </cell>
          <cell r="BG1791" t="str">
            <v>1100</v>
          </cell>
        </row>
        <row r="1792">
          <cell r="B1792" t="str">
            <v>G342150206100300</v>
          </cell>
          <cell r="C1792" t="str">
            <v>34.広島県</v>
          </cell>
          <cell r="D1792" t="str">
            <v>215</v>
          </cell>
          <cell r="E1792" t="str">
            <v>江田島市</v>
          </cell>
          <cell r="F1792" t="str">
            <v>02</v>
          </cell>
          <cell r="G1792" t="str">
            <v>特環 単独</v>
          </cell>
          <cell r="H1792" t="str">
            <v>特定環境保全公共下水道</v>
          </cell>
          <cell r="I1792" t="str">
            <v>単独</v>
          </cell>
          <cell r="J1792" t="str">
            <v>003</v>
          </cell>
          <cell r="K1792" t="str">
            <v>大柿浄化センター</v>
          </cell>
          <cell r="M1792" t="str">
            <v>1</v>
          </cell>
          <cell r="N1792" t="str">
            <v>1</v>
          </cell>
          <cell r="Q1792">
            <v>37681</v>
          </cell>
          <cell r="R1792" t="str">
            <v>平成</v>
          </cell>
          <cell r="S1792">
            <v>15</v>
          </cell>
          <cell r="T1792">
            <v>3</v>
          </cell>
          <cell r="AB1792">
            <v>10600</v>
          </cell>
          <cell r="AC1792" t="str">
            <v>広島湾西部水域</v>
          </cell>
          <cell r="AD1792" t="str">
            <v>Ａ</v>
          </cell>
          <cell r="AE1792" t="str">
            <v>イ</v>
          </cell>
          <cell r="AF1792">
            <v>15</v>
          </cell>
          <cell r="AG1792">
            <v>20</v>
          </cell>
          <cell r="AH1792">
            <v>2</v>
          </cell>
          <cell r="AI1792" t="str">
            <v>釣附川</v>
          </cell>
          <cell r="AQ1792" t="str">
            <v/>
          </cell>
          <cell r="AR1792" t="str">
            <v>オキシディションディッチ法</v>
          </cell>
          <cell r="AS1792" t="str">
            <v>3421502003</v>
          </cell>
          <cell r="AT1792" t="str">
            <v/>
          </cell>
          <cell r="AU1792" t="str">
            <v>10</v>
          </cell>
          <cell r="AV1792" t="str">
            <v>10</v>
          </cell>
          <cell r="AW1792">
            <v>0</v>
          </cell>
          <cell r="AX1792">
            <v>0</v>
          </cell>
          <cell r="AY1792">
            <v>0</v>
          </cell>
          <cell r="AZ1792">
            <v>0</v>
          </cell>
          <cell r="BA1792">
            <v>0</v>
          </cell>
          <cell r="BD1792" t="str">
            <v/>
          </cell>
          <cell r="BE1792">
            <v>1</v>
          </cell>
          <cell r="BG1792" t="str">
            <v>1100</v>
          </cell>
        </row>
        <row r="1793">
          <cell r="B1793" t="str">
            <v>G342150206100400</v>
          </cell>
          <cell r="C1793" t="str">
            <v>34.広島県</v>
          </cell>
          <cell r="D1793" t="str">
            <v>215</v>
          </cell>
          <cell r="E1793" t="str">
            <v>江田島市</v>
          </cell>
          <cell r="F1793" t="str">
            <v>02</v>
          </cell>
          <cell r="G1793" t="str">
            <v>特環 単独</v>
          </cell>
          <cell r="H1793" t="str">
            <v>特定環境保全公共下水道</v>
          </cell>
          <cell r="I1793" t="str">
            <v>単独</v>
          </cell>
          <cell r="J1793" t="str">
            <v>004</v>
          </cell>
          <cell r="K1793" t="str">
            <v>切串浄化センター</v>
          </cell>
          <cell r="M1793" t="str">
            <v>1</v>
          </cell>
          <cell r="N1793" t="str">
            <v>1</v>
          </cell>
          <cell r="Q1793">
            <v>38534</v>
          </cell>
          <cell r="R1793" t="str">
            <v>平成</v>
          </cell>
          <cell r="S1793">
            <v>17</v>
          </cell>
          <cell r="T1793">
            <v>7</v>
          </cell>
          <cell r="AB1793">
            <v>8100</v>
          </cell>
          <cell r="AC1793" t="str">
            <v>広島湾水域</v>
          </cell>
          <cell r="AD1793" t="str">
            <v>Ａ</v>
          </cell>
          <cell r="AE1793" t="str">
            <v>イ</v>
          </cell>
          <cell r="AF1793">
            <v>10</v>
          </cell>
          <cell r="AG1793">
            <v>20</v>
          </cell>
          <cell r="AH1793">
            <v>2</v>
          </cell>
          <cell r="AI1793" t="str">
            <v>広島湾</v>
          </cell>
          <cell r="AQ1793" t="str">
            <v/>
          </cell>
          <cell r="AR1793" t="str">
            <v>高度処理オキシディションディッチ法</v>
          </cell>
          <cell r="AS1793" t="str">
            <v>3421502004</v>
          </cell>
          <cell r="AT1793" t="str">
            <v/>
          </cell>
          <cell r="AU1793" t="str">
            <v>10</v>
          </cell>
          <cell r="AV1793" t="str">
            <v>10</v>
          </cell>
          <cell r="AW1793">
            <v>0</v>
          </cell>
          <cell r="AX1793">
            <v>0</v>
          </cell>
          <cell r="AY1793">
            <v>0</v>
          </cell>
          <cell r="AZ1793">
            <v>0</v>
          </cell>
          <cell r="BA1793">
            <v>0</v>
          </cell>
          <cell r="BD1793" t="str">
            <v/>
          </cell>
          <cell r="BE1793">
            <v>1</v>
          </cell>
          <cell r="BG1793" t="str">
            <v>1100</v>
          </cell>
        </row>
        <row r="1794">
          <cell r="B1794" t="str">
            <v>G342150206100500</v>
          </cell>
          <cell r="C1794" t="str">
            <v>34.広島県</v>
          </cell>
          <cell r="D1794" t="str">
            <v>215</v>
          </cell>
          <cell r="E1794" t="str">
            <v>江田島市</v>
          </cell>
          <cell r="F1794" t="str">
            <v>02</v>
          </cell>
          <cell r="G1794" t="str">
            <v>特環 単独</v>
          </cell>
          <cell r="H1794" t="str">
            <v>特定環境保全公共下水道</v>
          </cell>
          <cell r="I1794" t="str">
            <v>単独</v>
          </cell>
          <cell r="J1794" t="str">
            <v>005</v>
          </cell>
          <cell r="K1794" t="str">
            <v>鹿川浄化センター</v>
          </cell>
          <cell r="M1794" t="str">
            <v>1</v>
          </cell>
          <cell r="N1794" t="str">
            <v>1</v>
          </cell>
          <cell r="Q1794">
            <v>38777</v>
          </cell>
          <cell r="R1794" t="str">
            <v>平成</v>
          </cell>
          <cell r="S1794">
            <v>18</v>
          </cell>
          <cell r="T1794">
            <v>3</v>
          </cell>
          <cell r="AB1794">
            <v>5052</v>
          </cell>
          <cell r="AC1794" t="str">
            <v>広島湾西部水域</v>
          </cell>
          <cell r="AD1794" t="str">
            <v>Ａ</v>
          </cell>
          <cell r="AE1794" t="str">
            <v>イ</v>
          </cell>
          <cell r="AF1794">
            <v>10</v>
          </cell>
          <cell r="AG1794">
            <v>20</v>
          </cell>
          <cell r="AH1794">
            <v>2</v>
          </cell>
          <cell r="AI1794" t="str">
            <v>広島湾西部</v>
          </cell>
          <cell r="AQ1794" t="str">
            <v/>
          </cell>
          <cell r="AR1794" t="str">
            <v>高度処理オキシディションディッチ法</v>
          </cell>
          <cell r="AS1794" t="str">
            <v>3421502005</v>
          </cell>
          <cell r="AT1794" t="str">
            <v/>
          </cell>
          <cell r="AU1794" t="str">
            <v>10</v>
          </cell>
          <cell r="AV1794" t="str">
            <v>10</v>
          </cell>
          <cell r="AW1794">
            <v>0</v>
          </cell>
          <cell r="AX1794">
            <v>0</v>
          </cell>
          <cell r="AY1794">
            <v>0</v>
          </cell>
          <cell r="AZ1794">
            <v>0</v>
          </cell>
          <cell r="BA1794">
            <v>0</v>
          </cell>
          <cell r="BD1794" t="str">
            <v/>
          </cell>
          <cell r="BE1794">
            <v>1</v>
          </cell>
          <cell r="BG1794" t="str">
            <v>1100</v>
          </cell>
        </row>
        <row r="1795">
          <cell r="B1795" t="str">
            <v>G343680206100100</v>
          </cell>
          <cell r="C1795" t="str">
            <v>34.広島県</v>
          </cell>
          <cell r="D1795" t="str">
            <v>368</v>
          </cell>
          <cell r="E1795" t="str">
            <v>安芸太田町</v>
          </cell>
          <cell r="F1795" t="str">
            <v>02</v>
          </cell>
          <cell r="G1795" t="str">
            <v>特環 単独</v>
          </cell>
          <cell r="H1795" t="str">
            <v>特定環境保全公共下水道</v>
          </cell>
          <cell r="I1795" t="str">
            <v>単独</v>
          </cell>
          <cell r="J1795" t="str">
            <v>001</v>
          </cell>
          <cell r="K1795" t="str">
            <v>筒賀水質管理センター</v>
          </cell>
          <cell r="M1795" t="str">
            <v>1</v>
          </cell>
          <cell r="N1795" t="str">
            <v>1</v>
          </cell>
          <cell r="Q1795">
            <v>37012</v>
          </cell>
          <cell r="R1795" t="str">
            <v>平成</v>
          </cell>
          <cell r="S1795">
            <v>13</v>
          </cell>
          <cell r="T1795">
            <v>5</v>
          </cell>
          <cell r="AB1795">
            <v>3077</v>
          </cell>
          <cell r="AC1795" t="str">
            <v>太田川</v>
          </cell>
          <cell r="AD1795" t="str">
            <v>Ａ</v>
          </cell>
          <cell r="AE1795" t="str">
            <v>イ</v>
          </cell>
          <cell r="AF1795">
            <v>20</v>
          </cell>
          <cell r="AK1795" t="str">
            <v>太田川</v>
          </cell>
          <cell r="AL1795" t="str">
            <v>高瀬堰</v>
          </cell>
          <cell r="AN1795">
            <v>45</v>
          </cell>
          <cell r="AO1795" t="str">
            <v>広島市</v>
          </cell>
          <cell r="AQ1795" t="str">
            <v/>
          </cell>
          <cell r="AR1795" t="str">
            <v>オキシディションディッチ法</v>
          </cell>
          <cell r="AS1795" t="str">
            <v>3436802001</v>
          </cell>
          <cell r="AT1795" t="str">
            <v/>
          </cell>
          <cell r="AU1795" t="str">
            <v>10</v>
          </cell>
          <cell r="AV1795" t="str">
            <v>10</v>
          </cell>
          <cell r="AW1795">
            <v>0</v>
          </cell>
          <cell r="AX1795">
            <v>0</v>
          </cell>
          <cell r="AY1795">
            <v>0</v>
          </cell>
          <cell r="AZ1795">
            <v>0</v>
          </cell>
          <cell r="BA1795">
            <v>0</v>
          </cell>
          <cell r="BD1795" t="str">
            <v/>
          </cell>
          <cell r="BE1795">
            <v>1</v>
          </cell>
          <cell r="BG1795" t="str">
            <v>1100</v>
          </cell>
        </row>
        <row r="1796">
          <cell r="B1796" t="str">
            <v>G343680206100200</v>
          </cell>
          <cell r="C1796" t="str">
            <v>34.広島県</v>
          </cell>
          <cell r="D1796" t="str">
            <v>368</v>
          </cell>
          <cell r="E1796" t="str">
            <v>安芸太田町</v>
          </cell>
          <cell r="F1796" t="str">
            <v>02</v>
          </cell>
          <cell r="G1796" t="str">
            <v>特環 単独</v>
          </cell>
          <cell r="H1796" t="str">
            <v>特定環境保全公共下水道</v>
          </cell>
          <cell r="I1796" t="str">
            <v>単独</v>
          </cell>
          <cell r="J1796" t="str">
            <v>002</v>
          </cell>
          <cell r="K1796" t="str">
            <v>横川浄化センター</v>
          </cell>
          <cell r="M1796" t="str">
            <v>1</v>
          </cell>
          <cell r="N1796" t="str">
            <v>1</v>
          </cell>
          <cell r="Q1796">
            <v>37073</v>
          </cell>
          <cell r="R1796" t="str">
            <v>平成</v>
          </cell>
          <cell r="S1796">
            <v>13</v>
          </cell>
          <cell r="T1796">
            <v>7</v>
          </cell>
          <cell r="AB1796">
            <v>6850</v>
          </cell>
          <cell r="AC1796" t="str">
            <v>柴木川</v>
          </cell>
          <cell r="AD1796" t="str">
            <v>ＡＡ</v>
          </cell>
          <cell r="AE1796" t="str">
            <v>イ</v>
          </cell>
          <cell r="AF1796">
            <v>20</v>
          </cell>
          <cell r="AI1796" t="str">
            <v>横川川</v>
          </cell>
          <cell r="AJ1796" t="str">
            <v>柴木川</v>
          </cell>
          <cell r="AK1796" t="str">
            <v>太田川</v>
          </cell>
          <cell r="AL1796" t="str">
            <v>高瀬堰</v>
          </cell>
          <cell r="AN1796">
            <v>58</v>
          </cell>
          <cell r="AO1796" t="str">
            <v>広島市</v>
          </cell>
          <cell r="AQ1796" t="str">
            <v/>
          </cell>
          <cell r="AR1796" t="str">
            <v>長時間エアレーション法</v>
          </cell>
          <cell r="AS1796" t="str">
            <v>3436802002</v>
          </cell>
          <cell r="AT1796" t="str">
            <v/>
          </cell>
          <cell r="AU1796" t="str">
            <v>10</v>
          </cell>
          <cell r="AV1796" t="str">
            <v>10</v>
          </cell>
          <cell r="AW1796">
            <v>0</v>
          </cell>
          <cell r="AX1796">
            <v>0</v>
          </cell>
          <cell r="AY1796">
            <v>0</v>
          </cell>
          <cell r="AZ1796">
            <v>0</v>
          </cell>
          <cell r="BA1796">
            <v>0</v>
          </cell>
          <cell r="BD1796" t="str">
            <v/>
          </cell>
          <cell r="BE1796">
            <v>1</v>
          </cell>
          <cell r="BG1796" t="str">
            <v>1100</v>
          </cell>
        </row>
        <row r="1797">
          <cell r="B1797" t="str">
            <v>G343680206100300</v>
          </cell>
          <cell r="C1797" t="str">
            <v>34.広島県</v>
          </cell>
          <cell r="D1797" t="str">
            <v>368</v>
          </cell>
          <cell r="E1797" t="str">
            <v>安芸太田町</v>
          </cell>
          <cell r="F1797" t="str">
            <v>02</v>
          </cell>
          <cell r="G1797" t="str">
            <v>特環 単独</v>
          </cell>
          <cell r="H1797" t="str">
            <v>特定環境保全公共下水道</v>
          </cell>
          <cell r="I1797" t="str">
            <v>単独</v>
          </cell>
          <cell r="J1797" t="str">
            <v>003</v>
          </cell>
          <cell r="K1797" t="str">
            <v>上殿浄化センター</v>
          </cell>
          <cell r="M1797" t="str">
            <v>1</v>
          </cell>
          <cell r="N1797" t="str">
            <v>1</v>
          </cell>
          <cell r="Q1797">
            <v>38808</v>
          </cell>
          <cell r="R1797" t="str">
            <v>平成</v>
          </cell>
          <cell r="S1797">
            <v>18</v>
          </cell>
          <cell r="T1797">
            <v>4</v>
          </cell>
          <cell r="AB1797">
            <v>1500</v>
          </cell>
          <cell r="AC1797" t="str">
            <v>太田川</v>
          </cell>
          <cell r="AD1797" t="str">
            <v>Ａ</v>
          </cell>
          <cell r="AE1797" t="str">
            <v>イ</v>
          </cell>
          <cell r="AF1797">
            <v>20</v>
          </cell>
          <cell r="AK1797" t="str">
            <v>太田川</v>
          </cell>
          <cell r="AL1797" t="str">
            <v>高瀬堰</v>
          </cell>
          <cell r="AN1797">
            <v>43</v>
          </cell>
          <cell r="AO1797" t="str">
            <v>広島市</v>
          </cell>
          <cell r="AQ1797" t="str">
            <v/>
          </cell>
          <cell r="AR1797" t="str">
            <v>オキシディションディッチ法</v>
          </cell>
          <cell r="AS1797" t="str">
            <v>3436802003</v>
          </cell>
          <cell r="AT1797" t="str">
            <v/>
          </cell>
          <cell r="AU1797" t="str">
            <v>10</v>
          </cell>
          <cell r="AV1797" t="str">
            <v>10</v>
          </cell>
          <cell r="AW1797">
            <v>0</v>
          </cell>
          <cell r="AX1797">
            <v>0</v>
          </cell>
          <cell r="AY1797">
            <v>0</v>
          </cell>
          <cell r="AZ1797">
            <v>0</v>
          </cell>
          <cell r="BA1797">
            <v>0</v>
          </cell>
          <cell r="BD1797" t="str">
            <v/>
          </cell>
          <cell r="BE1797">
            <v>1</v>
          </cell>
          <cell r="BG1797" t="str">
            <v>1100</v>
          </cell>
        </row>
        <row r="1798">
          <cell r="B1798" t="str">
            <v>G343680206100400</v>
          </cell>
          <cell r="C1798" t="str">
            <v>34.広島県</v>
          </cell>
          <cell r="D1798" t="str">
            <v>368</v>
          </cell>
          <cell r="E1798" t="str">
            <v>安芸太田町</v>
          </cell>
          <cell r="F1798" t="str">
            <v>02</v>
          </cell>
          <cell r="G1798" t="str">
            <v>特環 単独</v>
          </cell>
          <cell r="H1798" t="str">
            <v>特定環境保全公共下水道</v>
          </cell>
          <cell r="I1798" t="str">
            <v>単独</v>
          </cell>
          <cell r="J1798" t="str">
            <v>004</v>
          </cell>
          <cell r="K1798" t="str">
            <v>加計浄化センター</v>
          </cell>
          <cell r="M1798" t="str">
            <v>1</v>
          </cell>
          <cell r="N1798" t="str">
            <v>1</v>
          </cell>
          <cell r="Q1798">
            <v>39173</v>
          </cell>
          <cell r="R1798" t="str">
            <v>平成</v>
          </cell>
          <cell r="S1798">
            <v>19</v>
          </cell>
          <cell r="T1798">
            <v>4</v>
          </cell>
          <cell r="AB1798">
            <v>4803</v>
          </cell>
          <cell r="AC1798" t="str">
            <v>太田川</v>
          </cell>
          <cell r="AD1798" t="str">
            <v>Ａ</v>
          </cell>
          <cell r="AE1798" t="str">
            <v>イ</v>
          </cell>
          <cell r="AF1798">
            <v>15</v>
          </cell>
          <cell r="AK1798" t="str">
            <v>太田川</v>
          </cell>
          <cell r="AL1798" t="str">
            <v>高瀬堰</v>
          </cell>
          <cell r="AN1798">
            <v>35</v>
          </cell>
          <cell r="AO1798" t="str">
            <v>広島市</v>
          </cell>
          <cell r="AQ1798" t="str">
            <v/>
          </cell>
          <cell r="AR1798" t="str">
            <v>オキシディションディッチ法</v>
          </cell>
          <cell r="AS1798" t="str">
            <v>3436802004</v>
          </cell>
          <cell r="AT1798" t="str">
            <v/>
          </cell>
          <cell r="AU1798" t="str">
            <v>10</v>
          </cell>
          <cell r="AV1798" t="str">
            <v>10</v>
          </cell>
          <cell r="AW1798">
            <v>0</v>
          </cell>
          <cell r="AX1798">
            <v>0</v>
          </cell>
          <cell r="AY1798">
            <v>0</v>
          </cell>
          <cell r="AZ1798">
            <v>0</v>
          </cell>
          <cell r="BA1798">
            <v>0</v>
          </cell>
          <cell r="BD1798" t="str">
            <v/>
          </cell>
          <cell r="BE1798">
            <v>1</v>
          </cell>
          <cell r="BG1798" t="str">
            <v>1100</v>
          </cell>
        </row>
        <row r="1799">
          <cell r="B1799" t="str">
            <v>G343680206100500</v>
          </cell>
          <cell r="C1799" t="str">
            <v>34.広島県</v>
          </cell>
          <cell r="D1799" t="str">
            <v>368</v>
          </cell>
          <cell r="E1799" t="str">
            <v>安芸太田町</v>
          </cell>
          <cell r="F1799" t="str">
            <v>02</v>
          </cell>
          <cell r="G1799" t="str">
            <v>特環 単独</v>
          </cell>
          <cell r="H1799" t="str">
            <v>特定環境保全公共下水道</v>
          </cell>
          <cell r="I1799" t="str">
            <v>単独</v>
          </cell>
          <cell r="J1799" t="str">
            <v>005</v>
          </cell>
          <cell r="K1799" t="str">
            <v>柴木浄化センター</v>
          </cell>
          <cell r="M1799" t="str">
            <v>1</v>
          </cell>
          <cell r="N1799" t="str">
            <v>1</v>
          </cell>
          <cell r="Q1799">
            <v>39904</v>
          </cell>
          <cell r="R1799" t="str">
            <v>平成</v>
          </cell>
          <cell r="S1799">
            <v>21</v>
          </cell>
          <cell r="T1799">
            <v>4</v>
          </cell>
          <cell r="AB1799">
            <v>2677</v>
          </cell>
          <cell r="AC1799" t="str">
            <v>柴木川</v>
          </cell>
          <cell r="AD1799" t="str">
            <v>ＡＡ</v>
          </cell>
          <cell r="AE1799" t="str">
            <v>イ</v>
          </cell>
          <cell r="AJ1799" t="str">
            <v>柴木川</v>
          </cell>
          <cell r="AK1799" t="str">
            <v>太田川</v>
          </cell>
          <cell r="AL1799" t="str">
            <v>高瀬堰</v>
          </cell>
          <cell r="AM1799">
            <v>52</v>
          </cell>
          <cell r="AO1799" t="str">
            <v>広島市</v>
          </cell>
          <cell r="AQ1799" t="str">
            <v/>
          </cell>
          <cell r="AR1799" t="str">
            <v>オキシディションディッチ法</v>
          </cell>
          <cell r="AS1799" t="str">
            <v>3436802005</v>
          </cell>
          <cell r="AT1799" t="str">
            <v/>
          </cell>
          <cell r="AU1799" t="str">
            <v>10</v>
          </cell>
          <cell r="AV1799" t="str">
            <v>10</v>
          </cell>
          <cell r="AW1799">
            <v>0</v>
          </cell>
          <cell r="AX1799">
            <v>0</v>
          </cell>
          <cell r="AY1799">
            <v>0</v>
          </cell>
          <cell r="AZ1799">
            <v>0</v>
          </cell>
          <cell r="BA1799">
            <v>0</v>
          </cell>
          <cell r="BD1799" t="str">
            <v/>
          </cell>
          <cell r="BE1799">
            <v>1</v>
          </cell>
          <cell r="BG1799" t="str">
            <v>1100</v>
          </cell>
        </row>
        <row r="1800">
          <cell r="B1800" t="str">
            <v>G343690106100100</v>
          </cell>
          <cell r="C1800" t="str">
            <v>34.広島県</v>
          </cell>
          <cell r="D1800" t="str">
            <v>369</v>
          </cell>
          <cell r="E1800" t="str">
            <v>北広島町</v>
          </cell>
          <cell r="F1800" t="str">
            <v>01</v>
          </cell>
          <cell r="G1800" t="str">
            <v>公共 単独</v>
          </cell>
          <cell r="H1800" t="str">
            <v>公共下水道</v>
          </cell>
          <cell r="I1800" t="str">
            <v>単独</v>
          </cell>
          <cell r="J1800" t="str">
            <v>001</v>
          </cell>
          <cell r="K1800" t="str">
            <v>千代田浄化センター</v>
          </cell>
          <cell r="M1800" t="str">
            <v>1</v>
          </cell>
          <cell r="N1800" t="str">
            <v>1</v>
          </cell>
          <cell r="Q1800">
            <v>33695</v>
          </cell>
          <cell r="R1800" t="str">
            <v>平成</v>
          </cell>
          <cell r="S1800">
            <v>4</v>
          </cell>
          <cell r="T1800">
            <v>4</v>
          </cell>
          <cell r="AB1800">
            <v>10350</v>
          </cell>
          <cell r="AC1800" t="str">
            <v>志路原川</v>
          </cell>
          <cell r="AD1800" t="str">
            <v>Ａ</v>
          </cell>
          <cell r="AE1800" t="str">
            <v>イ</v>
          </cell>
          <cell r="AF1800">
            <v>15</v>
          </cell>
          <cell r="AK1800" t="str">
            <v>志路原川</v>
          </cell>
          <cell r="AL1800" t="str">
            <v>土師ダム</v>
          </cell>
          <cell r="AN1800">
            <v>8</v>
          </cell>
          <cell r="AO1800" t="str">
            <v>広島市</v>
          </cell>
          <cell r="AQ1800" t="str">
            <v/>
          </cell>
          <cell r="AR1800" t="str">
            <v>回分式活性汚泥法</v>
          </cell>
          <cell r="AS1800" t="str">
            <v>3436901001</v>
          </cell>
          <cell r="AT1800" t="str">
            <v/>
          </cell>
          <cell r="AU1800" t="str">
            <v>10</v>
          </cell>
          <cell r="AV1800" t="str">
            <v>10</v>
          </cell>
          <cell r="AW1800">
            <v>0</v>
          </cell>
          <cell r="AX1800">
            <v>0</v>
          </cell>
          <cell r="AY1800">
            <v>0</v>
          </cell>
          <cell r="AZ1800">
            <v>0</v>
          </cell>
          <cell r="BA1800">
            <v>0</v>
          </cell>
          <cell r="BD1800" t="str">
            <v/>
          </cell>
          <cell r="BE1800">
            <v>1</v>
          </cell>
          <cell r="BG1800" t="str">
            <v>1100</v>
          </cell>
        </row>
        <row r="1801">
          <cell r="B1801" t="str">
            <v>G343690206100200</v>
          </cell>
          <cell r="C1801" t="str">
            <v>34.広島県</v>
          </cell>
          <cell r="D1801" t="str">
            <v>369</v>
          </cell>
          <cell r="E1801" t="str">
            <v>北広島町</v>
          </cell>
          <cell r="F1801" t="str">
            <v>02</v>
          </cell>
          <cell r="G1801" t="str">
            <v>特環 単独</v>
          </cell>
          <cell r="H1801" t="str">
            <v>特定環境保全公共下水道</v>
          </cell>
          <cell r="I1801" t="str">
            <v>単独</v>
          </cell>
          <cell r="J1801" t="str">
            <v>002</v>
          </cell>
          <cell r="K1801" t="str">
            <v>大朝浄化センター</v>
          </cell>
          <cell r="M1801" t="str">
            <v>1</v>
          </cell>
          <cell r="N1801" t="str">
            <v>1</v>
          </cell>
          <cell r="Q1801">
            <v>34394</v>
          </cell>
          <cell r="R1801" t="str">
            <v>平成</v>
          </cell>
          <cell r="S1801">
            <v>6</v>
          </cell>
          <cell r="T1801">
            <v>3</v>
          </cell>
          <cell r="AB1801">
            <v>2540</v>
          </cell>
          <cell r="AC1801" t="str">
            <v>江の川</v>
          </cell>
          <cell r="AD1801" t="str">
            <v>Ａ</v>
          </cell>
          <cell r="AE1801" t="str">
            <v>イ</v>
          </cell>
          <cell r="AF1801">
            <v>15</v>
          </cell>
          <cell r="AK1801" t="str">
            <v>江の川</v>
          </cell>
          <cell r="AL1801" t="str">
            <v>土師ダム</v>
          </cell>
          <cell r="AN1801">
            <v>24</v>
          </cell>
          <cell r="AO1801" t="str">
            <v>広島市</v>
          </cell>
          <cell r="AQ1801" t="str">
            <v/>
          </cell>
          <cell r="AR1801" t="str">
            <v>オキシディションディッチ法</v>
          </cell>
          <cell r="AS1801" t="str">
            <v>3436902002</v>
          </cell>
          <cell r="AT1801" t="str">
            <v/>
          </cell>
          <cell r="AU1801" t="str">
            <v>10</v>
          </cell>
          <cell r="AV1801" t="str">
            <v>10</v>
          </cell>
          <cell r="AW1801">
            <v>0</v>
          </cell>
          <cell r="AX1801">
            <v>0</v>
          </cell>
          <cell r="AY1801">
            <v>0</v>
          </cell>
          <cell r="AZ1801">
            <v>0</v>
          </cell>
          <cell r="BA1801">
            <v>0</v>
          </cell>
          <cell r="BD1801" t="str">
            <v/>
          </cell>
          <cell r="BE1801">
            <v>1</v>
          </cell>
          <cell r="BG1801" t="str">
            <v>1100</v>
          </cell>
        </row>
        <row r="1802">
          <cell r="B1802" t="str">
            <v>G343690206100300</v>
          </cell>
          <cell r="C1802" t="str">
            <v>34.広島県</v>
          </cell>
          <cell r="D1802" t="str">
            <v>369</v>
          </cell>
          <cell r="E1802" t="str">
            <v>北広島町</v>
          </cell>
          <cell r="F1802" t="str">
            <v>02</v>
          </cell>
          <cell r="G1802" t="str">
            <v>特環 単独</v>
          </cell>
          <cell r="H1802" t="str">
            <v>特定環境保全公共下水道</v>
          </cell>
          <cell r="I1802" t="str">
            <v>単独</v>
          </cell>
          <cell r="J1802" t="str">
            <v>003</v>
          </cell>
          <cell r="K1802" t="str">
            <v>新庄浄化センター</v>
          </cell>
          <cell r="M1802" t="str">
            <v>1</v>
          </cell>
          <cell r="N1802" t="str">
            <v>1</v>
          </cell>
          <cell r="Q1802">
            <v>35125</v>
          </cell>
          <cell r="R1802" t="str">
            <v>平成</v>
          </cell>
          <cell r="S1802">
            <v>8</v>
          </cell>
          <cell r="T1802">
            <v>3</v>
          </cell>
          <cell r="AB1802">
            <v>4586</v>
          </cell>
          <cell r="AC1802" t="str">
            <v>江の川</v>
          </cell>
          <cell r="AD1802" t="str">
            <v>Ａ</v>
          </cell>
          <cell r="AE1802" t="str">
            <v>イ</v>
          </cell>
          <cell r="AF1802">
            <v>15</v>
          </cell>
          <cell r="AK1802" t="str">
            <v>江の川</v>
          </cell>
          <cell r="AL1802" t="str">
            <v>土師ダム</v>
          </cell>
          <cell r="AN1802">
            <v>21</v>
          </cell>
          <cell r="AO1802" t="str">
            <v>広島市</v>
          </cell>
          <cell r="AQ1802" t="str">
            <v/>
          </cell>
          <cell r="AR1802" t="str">
            <v>オキシディションディッチ法</v>
          </cell>
          <cell r="AS1802" t="str">
            <v>3436902003</v>
          </cell>
          <cell r="AT1802" t="str">
            <v/>
          </cell>
          <cell r="AU1802" t="str">
            <v>10</v>
          </cell>
          <cell r="AV1802" t="str">
            <v>10</v>
          </cell>
          <cell r="AW1802">
            <v>0</v>
          </cell>
          <cell r="AX1802">
            <v>0</v>
          </cell>
          <cell r="AY1802">
            <v>0</v>
          </cell>
          <cell r="AZ1802">
            <v>0</v>
          </cell>
          <cell r="BA1802">
            <v>0</v>
          </cell>
          <cell r="BD1802" t="str">
            <v/>
          </cell>
          <cell r="BE1802">
            <v>1</v>
          </cell>
          <cell r="BG1802" t="str">
            <v>1100</v>
          </cell>
        </row>
        <row r="1803">
          <cell r="B1803" t="str">
            <v>G344310206100100</v>
          </cell>
          <cell r="C1803" t="str">
            <v>34.広島県</v>
          </cell>
          <cell r="D1803" t="str">
            <v>431</v>
          </cell>
          <cell r="E1803" t="str">
            <v>大崎上島町</v>
          </cell>
          <cell r="F1803" t="str">
            <v>02</v>
          </cell>
          <cell r="G1803" t="str">
            <v>特環 単独</v>
          </cell>
          <cell r="H1803" t="str">
            <v>特定環境保全公共下水道</v>
          </cell>
          <cell r="I1803" t="str">
            <v>単独</v>
          </cell>
          <cell r="J1803" t="str">
            <v>001</v>
          </cell>
          <cell r="K1803" t="str">
            <v>大崎浄化センター</v>
          </cell>
          <cell r="M1803" t="str">
            <v>1</v>
          </cell>
          <cell r="N1803" t="str">
            <v>1</v>
          </cell>
          <cell r="Q1803">
            <v>38078</v>
          </cell>
          <cell r="R1803" t="str">
            <v>平成</v>
          </cell>
          <cell r="S1803">
            <v>16</v>
          </cell>
          <cell r="T1803">
            <v>4</v>
          </cell>
          <cell r="AB1803">
            <v>8100</v>
          </cell>
          <cell r="AC1803" t="str">
            <v>瀬戸内海</v>
          </cell>
          <cell r="AD1803" t="str">
            <v>Ａ</v>
          </cell>
          <cell r="AE1803" t="str">
            <v>イ</v>
          </cell>
          <cell r="AF1803">
            <v>15</v>
          </cell>
          <cell r="AG1803">
            <v>20</v>
          </cell>
          <cell r="AH1803">
            <v>2</v>
          </cell>
          <cell r="AI1803" t="str">
            <v>瀬戸内海</v>
          </cell>
          <cell r="AQ1803" t="str">
            <v/>
          </cell>
          <cell r="AR1803" t="str">
            <v>オキシディションディッチ法</v>
          </cell>
          <cell r="AS1803" t="str">
            <v>3443102001</v>
          </cell>
          <cell r="AT1803" t="str">
            <v/>
          </cell>
          <cell r="AU1803" t="str">
            <v>10</v>
          </cell>
          <cell r="AV1803" t="str">
            <v>10</v>
          </cell>
          <cell r="AW1803">
            <v>0</v>
          </cell>
          <cell r="AX1803">
            <v>0</v>
          </cell>
          <cell r="AY1803">
            <v>0</v>
          </cell>
          <cell r="AZ1803">
            <v>0</v>
          </cell>
          <cell r="BA1803">
            <v>0</v>
          </cell>
          <cell r="BD1803" t="str">
            <v/>
          </cell>
          <cell r="BE1803">
            <v>1</v>
          </cell>
          <cell r="BG1803" t="str">
            <v>1100</v>
          </cell>
        </row>
        <row r="1804">
          <cell r="B1804" t="str">
            <v>G344620106100100</v>
          </cell>
          <cell r="C1804" t="str">
            <v>34.広島県</v>
          </cell>
          <cell r="D1804" t="str">
            <v>462</v>
          </cell>
          <cell r="E1804" t="str">
            <v>世羅町</v>
          </cell>
          <cell r="F1804" t="str">
            <v>01</v>
          </cell>
          <cell r="G1804" t="str">
            <v>公共 単独</v>
          </cell>
          <cell r="H1804" t="str">
            <v>公共下水道</v>
          </cell>
          <cell r="I1804" t="str">
            <v>単独</v>
          </cell>
          <cell r="J1804" t="str">
            <v>001</v>
          </cell>
          <cell r="K1804" t="str">
            <v>甲世浄化センター</v>
          </cell>
          <cell r="M1804" t="str">
            <v>1</v>
          </cell>
          <cell r="N1804" t="str">
            <v>1</v>
          </cell>
          <cell r="Q1804">
            <v>39904</v>
          </cell>
          <cell r="R1804" t="str">
            <v>平成</v>
          </cell>
          <cell r="S1804">
            <v>21</v>
          </cell>
          <cell r="T1804">
            <v>4</v>
          </cell>
          <cell r="AB1804">
            <v>14924</v>
          </cell>
          <cell r="AC1804" t="str">
            <v>芦田川水系</v>
          </cell>
          <cell r="AK1804" t="str">
            <v>芦田川</v>
          </cell>
          <cell r="AQ1804" t="str">
            <v/>
          </cell>
          <cell r="AR1804" t="str">
            <v>オキシディションディッチ法</v>
          </cell>
          <cell r="AS1804" t="str">
            <v>3446201001</v>
          </cell>
          <cell r="AT1804" t="str">
            <v/>
          </cell>
          <cell r="AU1804" t="str">
            <v>10</v>
          </cell>
          <cell r="AV1804" t="str">
            <v>10</v>
          </cell>
          <cell r="AW1804">
            <v>0</v>
          </cell>
          <cell r="AX1804">
            <v>0</v>
          </cell>
          <cell r="AY1804">
            <v>0</v>
          </cell>
          <cell r="AZ1804">
            <v>0</v>
          </cell>
          <cell r="BA1804">
            <v>0</v>
          </cell>
          <cell r="BD1804" t="str">
            <v/>
          </cell>
          <cell r="BE1804">
            <v>1</v>
          </cell>
          <cell r="BG1804" t="str">
            <v>1100</v>
          </cell>
        </row>
        <row r="1805">
          <cell r="B1805" t="str">
            <v>G350018106100100</v>
          </cell>
          <cell r="C1805" t="str">
            <v>35.山口県</v>
          </cell>
          <cell r="D1805" t="str">
            <v>001</v>
          </cell>
          <cell r="E1805" t="str">
            <v>周南流域</v>
          </cell>
          <cell r="F1805" t="str">
            <v>81</v>
          </cell>
          <cell r="G1805" t="str">
            <v>流域</v>
          </cell>
          <cell r="H1805" t="str">
            <v>流域下水道</v>
          </cell>
          <cell r="I1805" t="str">
            <v/>
          </cell>
          <cell r="J1805" t="str">
            <v>001</v>
          </cell>
          <cell r="K1805" t="str">
            <v>周南浄化センター</v>
          </cell>
          <cell r="M1805" t="str">
            <v>1</v>
          </cell>
          <cell r="N1805" t="str">
            <v>1</v>
          </cell>
          <cell r="P1805" t="str">
            <v>1</v>
          </cell>
          <cell r="Q1805">
            <v>31686</v>
          </cell>
          <cell r="R1805" t="str">
            <v>昭和</v>
          </cell>
          <cell r="S1805">
            <v>61</v>
          </cell>
          <cell r="T1805">
            <v>10</v>
          </cell>
          <cell r="AB1805">
            <v>140000</v>
          </cell>
          <cell r="AC1805" t="str">
            <v>光地先海域</v>
          </cell>
          <cell r="AD1805" t="str">
            <v>Ａ</v>
          </cell>
          <cell r="AE1805" t="str">
            <v>イ</v>
          </cell>
          <cell r="AF1805">
            <v>9</v>
          </cell>
          <cell r="AG1805">
            <v>14</v>
          </cell>
          <cell r="AH1805">
            <v>0.9</v>
          </cell>
          <cell r="AQ1805" t="str">
            <v/>
          </cell>
          <cell r="AR1805" t="str">
            <v>標準活性汚泥法</v>
          </cell>
          <cell r="AS1805" t="str">
            <v>3500181001</v>
          </cell>
          <cell r="AT1805" t="str">
            <v/>
          </cell>
          <cell r="AU1805" t="str">
            <v>10</v>
          </cell>
          <cell r="AV1805" t="str">
            <v>10</v>
          </cell>
          <cell r="AW1805">
            <v>1</v>
          </cell>
          <cell r="AX1805">
            <v>0</v>
          </cell>
          <cell r="AY1805">
            <v>0</v>
          </cell>
          <cell r="AZ1805">
            <v>0</v>
          </cell>
          <cell r="BA1805">
            <v>0</v>
          </cell>
          <cell r="BD1805" t="str">
            <v/>
          </cell>
          <cell r="BE1805">
            <v>1</v>
          </cell>
          <cell r="BG1805" t="str">
            <v>1101</v>
          </cell>
        </row>
        <row r="1806">
          <cell r="B1806" t="str">
            <v>G350028106100100</v>
          </cell>
          <cell r="C1806" t="str">
            <v>35.山口県</v>
          </cell>
          <cell r="D1806" t="str">
            <v>002</v>
          </cell>
          <cell r="E1806" t="str">
            <v>田布施川流域</v>
          </cell>
          <cell r="F1806" t="str">
            <v>81</v>
          </cell>
          <cell r="G1806" t="str">
            <v>流域</v>
          </cell>
          <cell r="H1806" t="str">
            <v>流域下水道</v>
          </cell>
          <cell r="I1806" t="str">
            <v/>
          </cell>
          <cell r="J1806" t="str">
            <v>001</v>
          </cell>
          <cell r="K1806" t="str">
            <v>田布施川浄化センター</v>
          </cell>
          <cell r="M1806" t="str">
            <v>1</v>
          </cell>
          <cell r="N1806" t="str">
            <v>1</v>
          </cell>
          <cell r="Q1806">
            <v>35370</v>
          </cell>
          <cell r="R1806" t="str">
            <v>平成</v>
          </cell>
          <cell r="S1806">
            <v>8</v>
          </cell>
          <cell r="T1806">
            <v>11</v>
          </cell>
          <cell r="AB1806">
            <v>47500</v>
          </cell>
          <cell r="AC1806" t="str">
            <v>平生・上関海域</v>
          </cell>
          <cell r="AD1806" t="str">
            <v>Ｂ</v>
          </cell>
          <cell r="AE1806" t="str">
            <v>ロ</v>
          </cell>
          <cell r="AF1806">
            <v>15</v>
          </cell>
          <cell r="AG1806">
            <v>14</v>
          </cell>
          <cell r="AI1806" t="str">
            <v>平生湾</v>
          </cell>
          <cell r="AQ1806" t="str">
            <v/>
          </cell>
          <cell r="AR1806" t="str">
            <v>オキシディションディッチ法</v>
          </cell>
          <cell r="AS1806" t="str">
            <v>3500281001</v>
          </cell>
          <cell r="AT1806" t="str">
            <v/>
          </cell>
          <cell r="AU1806" t="str">
            <v>10</v>
          </cell>
          <cell r="AV1806" t="str">
            <v>10</v>
          </cell>
          <cell r="AW1806">
            <v>0</v>
          </cell>
          <cell r="AX1806">
            <v>0</v>
          </cell>
          <cell r="AY1806">
            <v>0</v>
          </cell>
          <cell r="AZ1806">
            <v>0</v>
          </cell>
          <cell r="BA1806">
            <v>0</v>
          </cell>
          <cell r="BD1806" t="str">
            <v/>
          </cell>
          <cell r="BE1806">
            <v>1</v>
          </cell>
          <cell r="BG1806" t="str">
            <v>1100</v>
          </cell>
        </row>
        <row r="1807">
          <cell r="B1807" t="str">
            <v>G352010106100100</v>
          </cell>
          <cell r="C1807" t="str">
            <v>35.山口県</v>
          </cell>
          <cell r="D1807" t="str">
            <v>201</v>
          </cell>
          <cell r="E1807" t="str">
            <v>下関市</v>
          </cell>
          <cell r="F1807" t="str">
            <v>01</v>
          </cell>
          <cell r="G1807" t="str">
            <v>公共 単独</v>
          </cell>
          <cell r="H1807" t="str">
            <v>公共下水道</v>
          </cell>
          <cell r="I1807" t="str">
            <v>単独</v>
          </cell>
          <cell r="J1807" t="str">
            <v>001</v>
          </cell>
          <cell r="K1807" t="str">
            <v>筋ヶ浜終末処理場</v>
          </cell>
          <cell r="M1807" t="str">
            <v>1</v>
          </cell>
          <cell r="N1807" t="str">
            <v>1</v>
          </cell>
          <cell r="Q1807">
            <v>24047</v>
          </cell>
          <cell r="R1807" t="str">
            <v>昭和</v>
          </cell>
          <cell r="S1807">
            <v>40</v>
          </cell>
          <cell r="T1807">
            <v>11</v>
          </cell>
          <cell r="AB1807">
            <v>28720</v>
          </cell>
          <cell r="AC1807" t="str">
            <v>響灘</v>
          </cell>
          <cell r="AD1807" t="str">
            <v>Ａ</v>
          </cell>
          <cell r="AE1807" t="str">
            <v>イ</v>
          </cell>
          <cell r="AF1807">
            <v>15</v>
          </cell>
          <cell r="AI1807" t="str">
            <v>響灘</v>
          </cell>
          <cell r="AQ1807" t="str">
            <v/>
          </cell>
          <cell r="AR1807" t="str">
            <v>標準活性汚泥法</v>
          </cell>
          <cell r="AS1807" t="str">
            <v>3520101001</v>
          </cell>
          <cell r="AT1807" t="str">
            <v/>
          </cell>
          <cell r="AU1807" t="str">
            <v>10</v>
          </cell>
          <cell r="AV1807" t="str">
            <v>10</v>
          </cell>
          <cell r="AW1807">
            <v>0</v>
          </cell>
          <cell r="AX1807">
            <v>0</v>
          </cell>
          <cell r="AY1807">
            <v>0</v>
          </cell>
          <cell r="AZ1807">
            <v>0</v>
          </cell>
          <cell r="BA1807">
            <v>0</v>
          </cell>
          <cell r="BD1807" t="str">
            <v/>
          </cell>
          <cell r="BE1807">
            <v>1</v>
          </cell>
          <cell r="BG1807" t="str">
            <v>1100</v>
          </cell>
        </row>
        <row r="1808">
          <cell r="B1808" t="str">
            <v>G352010106100200</v>
          </cell>
          <cell r="C1808" t="str">
            <v>35.山口県</v>
          </cell>
          <cell r="D1808" t="str">
            <v>201</v>
          </cell>
          <cell r="E1808" t="str">
            <v>下関市</v>
          </cell>
          <cell r="F1808" t="str">
            <v>01</v>
          </cell>
          <cell r="G1808" t="str">
            <v>公共 単独</v>
          </cell>
          <cell r="H1808" t="str">
            <v>公共下水道</v>
          </cell>
          <cell r="I1808" t="str">
            <v>単独</v>
          </cell>
          <cell r="J1808" t="str">
            <v>002</v>
          </cell>
          <cell r="K1808" t="str">
            <v>彦島終末処理場</v>
          </cell>
          <cell r="M1808" t="str">
            <v>1</v>
          </cell>
          <cell r="N1808" t="str">
            <v>1</v>
          </cell>
          <cell r="Q1808">
            <v>29312</v>
          </cell>
          <cell r="R1808" t="str">
            <v>昭和</v>
          </cell>
          <cell r="S1808">
            <v>55</v>
          </cell>
          <cell r="T1808">
            <v>4</v>
          </cell>
          <cell r="AB1808">
            <v>60965</v>
          </cell>
          <cell r="AC1808" t="str">
            <v>響灘</v>
          </cell>
          <cell r="AD1808" t="str">
            <v>Ａ</v>
          </cell>
          <cell r="AE1808" t="str">
            <v>イ</v>
          </cell>
          <cell r="AF1808">
            <v>15</v>
          </cell>
          <cell r="AI1808" t="str">
            <v>響灘</v>
          </cell>
          <cell r="AQ1808" t="str">
            <v/>
          </cell>
          <cell r="AR1808" t="str">
            <v>標準活性汚泥法</v>
          </cell>
          <cell r="AS1808" t="str">
            <v>3520101002</v>
          </cell>
          <cell r="AT1808" t="str">
            <v/>
          </cell>
          <cell r="AU1808" t="str">
            <v>10</v>
          </cell>
          <cell r="AV1808" t="str">
            <v>10</v>
          </cell>
          <cell r="AW1808">
            <v>0</v>
          </cell>
          <cell r="AX1808">
            <v>0</v>
          </cell>
          <cell r="AY1808">
            <v>0</v>
          </cell>
          <cell r="AZ1808">
            <v>0</v>
          </cell>
          <cell r="BA1808">
            <v>0</v>
          </cell>
          <cell r="BD1808" t="str">
            <v/>
          </cell>
          <cell r="BE1808">
            <v>1</v>
          </cell>
          <cell r="BG1808" t="str">
            <v>1100</v>
          </cell>
        </row>
        <row r="1809">
          <cell r="B1809" t="str">
            <v>G352010106100300</v>
          </cell>
          <cell r="C1809" t="str">
            <v>35.山口県</v>
          </cell>
          <cell r="D1809" t="str">
            <v>201</v>
          </cell>
          <cell r="E1809" t="str">
            <v>下関市</v>
          </cell>
          <cell r="F1809" t="str">
            <v>01</v>
          </cell>
          <cell r="G1809" t="str">
            <v>公共 単独</v>
          </cell>
          <cell r="H1809" t="str">
            <v>公共下水道</v>
          </cell>
          <cell r="I1809" t="str">
            <v>単独</v>
          </cell>
          <cell r="J1809" t="str">
            <v>003</v>
          </cell>
          <cell r="K1809" t="str">
            <v>山陰終末処理場</v>
          </cell>
          <cell r="M1809" t="str">
            <v>1</v>
          </cell>
          <cell r="N1809" t="str">
            <v>1</v>
          </cell>
          <cell r="Q1809">
            <v>32964</v>
          </cell>
          <cell r="R1809" t="str">
            <v>平成</v>
          </cell>
          <cell r="S1809">
            <v>2</v>
          </cell>
          <cell r="T1809">
            <v>4</v>
          </cell>
          <cell r="AB1809">
            <v>132860</v>
          </cell>
          <cell r="AC1809" t="str">
            <v>響灘</v>
          </cell>
          <cell r="AD1809" t="str">
            <v>Ａ</v>
          </cell>
          <cell r="AE1809" t="str">
            <v>イ</v>
          </cell>
          <cell r="AF1809">
            <v>15</v>
          </cell>
          <cell r="AG1809">
            <v>14</v>
          </cell>
          <cell r="AI1809" t="str">
            <v>響灘</v>
          </cell>
          <cell r="AQ1809" t="str">
            <v/>
          </cell>
          <cell r="AR1809" t="str">
            <v>標準活性汚泥法</v>
          </cell>
          <cell r="AS1809" t="str">
            <v>3520101003</v>
          </cell>
          <cell r="AT1809" t="str">
            <v/>
          </cell>
          <cell r="AU1809" t="str">
            <v>10</v>
          </cell>
          <cell r="AV1809" t="str">
            <v>10</v>
          </cell>
          <cell r="AW1809">
            <v>0</v>
          </cell>
          <cell r="AX1809">
            <v>0</v>
          </cell>
          <cell r="AY1809">
            <v>0</v>
          </cell>
          <cell r="AZ1809">
            <v>0</v>
          </cell>
          <cell r="BA1809">
            <v>0</v>
          </cell>
          <cell r="BD1809" t="str">
            <v/>
          </cell>
          <cell r="BE1809">
            <v>1</v>
          </cell>
          <cell r="BG1809" t="str">
            <v>1100</v>
          </cell>
        </row>
        <row r="1810">
          <cell r="B1810" t="str">
            <v>G352010106100400</v>
          </cell>
          <cell r="C1810" t="str">
            <v>35.山口県</v>
          </cell>
          <cell r="D1810" t="str">
            <v>201</v>
          </cell>
          <cell r="E1810" t="str">
            <v>下関市</v>
          </cell>
          <cell r="F1810" t="str">
            <v>01</v>
          </cell>
          <cell r="G1810" t="str">
            <v>公共 単独</v>
          </cell>
          <cell r="H1810" t="str">
            <v>公共下水道</v>
          </cell>
          <cell r="I1810" t="str">
            <v>単独</v>
          </cell>
          <cell r="J1810" t="str">
            <v>004</v>
          </cell>
          <cell r="K1810" t="str">
            <v>山陽終末処理場</v>
          </cell>
          <cell r="M1810" t="str">
            <v>1</v>
          </cell>
          <cell r="N1810" t="str">
            <v>1</v>
          </cell>
          <cell r="P1810" t="str">
            <v>1</v>
          </cell>
          <cell r="Q1810">
            <v>34790</v>
          </cell>
          <cell r="R1810" t="str">
            <v>平成</v>
          </cell>
          <cell r="S1810">
            <v>7</v>
          </cell>
          <cell r="T1810">
            <v>4</v>
          </cell>
          <cell r="AB1810">
            <v>80067</v>
          </cell>
          <cell r="AC1810" t="str">
            <v>周防灘</v>
          </cell>
          <cell r="AD1810" t="str">
            <v>Ａ-Ⅱ</v>
          </cell>
          <cell r="AE1810" t="str">
            <v>イ</v>
          </cell>
          <cell r="AF1810">
            <v>15</v>
          </cell>
          <cell r="AG1810">
            <v>14</v>
          </cell>
          <cell r="AI1810" t="str">
            <v>周防灘</v>
          </cell>
          <cell r="AQ1810" t="str">
            <v/>
          </cell>
          <cell r="AR1810" t="str">
            <v>循環式硝化脱窒法</v>
          </cell>
          <cell r="AS1810" t="str">
            <v>3520101004</v>
          </cell>
          <cell r="AT1810" t="str">
            <v/>
          </cell>
          <cell r="AU1810" t="str">
            <v>10</v>
          </cell>
          <cell r="AV1810" t="str">
            <v>10</v>
          </cell>
          <cell r="AW1810">
            <v>1</v>
          </cell>
          <cell r="AX1810">
            <v>0</v>
          </cell>
          <cell r="AY1810">
            <v>0</v>
          </cell>
          <cell r="AZ1810">
            <v>0</v>
          </cell>
          <cell r="BA1810">
            <v>0</v>
          </cell>
          <cell r="BD1810" t="str">
            <v/>
          </cell>
          <cell r="BE1810">
            <v>1</v>
          </cell>
          <cell r="BG1810" t="str">
            <v>1101</v>
          </cell>
        </row>
        <row r="1811">
          <cell r="B1811" t="str">
            <v>G352010106100500</v>
          </cell>
          <cell r="C1811" t="str">
            <v>35.山口県</v>
          </cell>
          <cell r="D1811" t="str">
            <v>201</v>
          </cell>
          <cell r="E1811" t="str">
            <v>下関市</v>
          </cell>
          <cell r="F1811" t="str">
            <v>01</v>
          </cell>
          <cell r="G1811" t="str">
            <v>公共 単独</v>
          </cell>
          <cell r="H1811" t="str">
            <v>公共下水道</v>
          </cell>
          <cell r="I1811" t="str">
            <v>単独</v>
          </cell>
          <cell r="J1811" t="str">
            <v>005</v>
          </cell>
          <cell r="K1811" t="str">
            <v>豊浦中部浄化センター</v>
          </cell>
          <cell r="M1811" t="str">
            <v>1</v>
          </cell>
          <cell r="N1811" t="str">
            <v>1</v>
          </cell>
          <cell r="Q1811">
            <v>36130</v>
          </cell>
          <cell r="R1811" t="str">
            <v>平成</v>
          </cell>
          <cell r="S1811">
            <v>10</v>
          </cell>
          <cell r="T1811">
            <v>12</v>
          </cell>
          <cell r="AB1811">
            <v>28600</v>
          </cell>
          <cell r="AC1811" t="str">
            <v>川棚川</v>
          </cell>
          <cell r="AD1811" t="str">
            <v>Ｂ</v>
          </cell>
          <cell r="AE1811" t="str">
            <v>イ</v>
          </cell>
          <cell r="AF1811">
            <v>15</v>
          </cell>
          <cell r="AG1811">
            <v>14</v>
          </cell>
          <cell r="AJ1811" t="str">
            <v>川棚川</v>
          </cell>
          <cell r="AL1811" t="str">
            <v>一の浜水源地</v>
          </cell>
          <cell r="AM1811">
            <v>1</v>
          </cell>
          <cell r="AO1811" t="str">
            <v>下関市</v>
          </cell>
          <cell r="AQ1811" t="str">
            <v/>
          </cell>
          <cell r="AR1811" t="str">
            <v>高度処理オキシディションディッチ法</v>
          </cell>
          <cell r="AS1811" t="str">
            <v>3520101005</v>
          </cell>
          <cell r="AT1811" t="str">
            <v/>
          </cell>
          <cell r="AU1811" t="str">
            <v>10</v>
          </cell>
          <cell r="AV1811" t="str">
            <v>10</v>
          </cell>
          <cell r="AW1811">
            <v>0</v>
          </cell>
          <cell r="AX1811">
            <v>0</v>
          </cell>
          <cell r="AY1811">
            <v>0</v>
          </cell>
          <cell r="AZ1811">
            <v>0</v>
          </cell>
          <cell r="BA1811">
            <v>0</v>
          </cell>
          <cell r="BD1811" t="str">
            <v/>
          </cell>
          <cell r="BE1811">
            <v>1</v>
          </cell>
          <cell r="BG1811" t="str">
            <v>1100</v>
          </cell>
        </row>
        <row r="1812">
          <cell r="B1812" t="str">
            <v>G352010206100600</v>
          </cell>
          <cell r="C1812" t="str">
            <v>35.山口県</v>
          </cell>
          <cell r="D1812" t="str">
            <v>201</v>
          </cell>
          <cell r="E1812" t="str">
            <v>下関市</v>
          </cell>
          <cell r="F1812" t="str">
            <v>02</v>
          </cell>
          <cell r="G1812" t="str">
            <v>特環 単独</v>
          </cell>
          <cell r="H1812" t="str">
            <v>特定環境保全公共下水道</v>
          </cell>
          <cell r="I1812" t="str">
            <v>単独</v>
          </cell>
          <cell r="J1812" t="str">
            <v>006</v>
          </cell>
          <cell r="K1812" t="str">
            <v>豊田浄化センター</v>
          </cell>
          <cell r="M1812" t="str">
            <v>1</v>
          </cell>
          <cell r="N1812" t="str">
            <v>1</v>
          </cell>
          <cell r="Q1812">
            <v>35521</v>
          </cell>
          <cell r="R1812" t="str">
            <v>平成</v>
          </cell>
          <cell r="S1812">
            <v>9</v>
          </cell>
          <cell r="T1812">
            <v>4</v>
          </cell>
          <cell r="AB1812">
            <v>7880</v>
          </cell>
          <cell r="AC1812" t="str">
            <v>木屋川</v>
          </cell>
          <cell r="AD1812" t="str">
            <v>Ａ</v>
          </cell>
          <cell r="AE1812" t="str">
            <v>ロ</v>
          </cell>
          <cell r="AJ1812" t="str">
            <v>木屋川</v>
          </cell>
          <cell r="AL1812" t="str">
            <v>楢原浄水場・湯の原ダム</v>
          </cell>
          <cell r="AM1812">
            <v>5</v>
          </cell>
          <cell r="AN1812">
            <v>10</v>
          </cell>
          <cell r="AO1812" t="str">
            <v>下関市</v>
          </cell>
          <cell r="AQ1812" t="str">
            <v/>
          </cell>
          <cell r="AR1812" t="str">
            <v>オキシディションディッチ法</v>
          </cell>
          <cell r="AS1812" t="str">
            <v>3520102006</v>
          </cell>
          <cell r="AT1812" t="str">
            <v/>
          </cell>
          <cell r="AU1812" t="str">
            <v>10</v>
          </cell>
          <cell r="AV1812" t="str">
            <v>10</v>
          </cell>
          <cell r="AW1812">
            <v>0</v>
          </cell>
          <cell r="AX1812">
            <v>0</v>
          </cell>
          <cell r="AY1812">
            <v>0</v>
          </cell>
          <cell r="AZ1812">
            <v>0</v>
          </cell>
          <cell r="BA1812">
            <v>0</v>
          </cell>
          <cell r="BD1812" t="str">
            <v/>
          </cell>
          <cell r="BE1812">
            <v>1</v>
          </cell>
          <cell r="BG1812" t="str">
            <v>1100</v>
          </cell>
        </row>
        <row r="1813">
          <cell r="B1813" t="str">
            <v>G352010206100700</v>
          </cell>
          <cell r="C1813" t="str">
            <v>35.山口県</v>
          </cell>
          <cell r="D1813" t="str">
            <v>201</v>
          </cell>
          <cell r="E1813" t="str">
            <v>下関市</v>
          </cell>
          <cell r="F1813" t="str">
            <v>02</v>
          </cell>
          <cell r="G1813" t="str">
            <v>特環 単独</v>
          </cell>
          <cell r="H1813" t="str">
            <v>特定環境保全公共下水道</v>
          </cell>
          <cell r="I1813" t="str">
            <v>単独</v>
          </cell>
          <cell r="J1813" t="str">
            <v>007</v>
          </cell>
          <cell r="K1813" t="str">
            <v>豊北滝部浄化センター</v>
          </cell>
          <cell r="M1813" t="str">
            <v>1</v>
          </cell>
          <cell r="N1813" t="str">
            <v>1</v>
          </cell>
          <cell r="Q1813">
            <v>35886</v>
          </cell>
          <cell r="R1813" t="str">
            <v>平成</v>
          </cell>
          <cell r="S1813">
            <v>10</v>
          </cell>
          <cell r="T1813">
            <v>4</v>
          </cell>
          <cell r="AB1813">
            <v>3505</v>
          </cell>
          <cell r="AC1813" t="str">
            <v>粟野川水系</v>
          </cell>
          <cell r="AD1813" t="str">
            <v>Ａ</v>
          </cell>
          <cell r="AE1813" t="str">
            <v>イ</v>
          </cell>
          <cell r="AJ1813" t="str">
            <v>滑川</v>
          </cell>
          <cell r="AL1813" t="str">
            <v>市ノ瀬水源地</v>
          </cell>
          <cell r="AN1813">
            <v>9</v>
          </cell>
          <cell r="AO1813" t="str">
            <v>下関市</v>
          </cell>
          <cell r="AQ1813" t="str">
            <v/>
          </cell>
          <cell r="AR1813" t="str">
            <v>オキシディションディッチ法</v>
          </cell>
          <cell r="AS1813" t="str">
            <v>3520102007</v>
          </cell>
          <cell r="AT1813" t="str">
            <v/>
          </cell>
          <cell r="AU1813" t="str">
            <v>10</v>
          </cell>
          <cell r="AV1813" t="str">
            <v>10</v>
          </cell>
          <cell r="AW1813">
            <v>0</v>
          </cell>
          <cell r="AX1813">
            <v>0</v>
          </cell>
          <cell r="AY1813">
            <v>0</v>
          </cell>
          <cell r="AZ1813">
            <v>0</v>
          </cell>
          <cell r="BA1813">
            <v>0</v>
          </cell>
          <cell r="BD1813" t="str">
            <v/>
          </cell>
          <cell r="BE1813">
            <v>1</v>
          </cell>
          <cell r="BG1813" t="str">
            <v>1100</v>
          </cell>
        </row>
        <row r="1814">
          <cell r="B1814" t="str">
            <v>G352020106100100</v>
          </cell>
          <cell r="C1814" t="str">
            <v>35.山口県</v>
          </cell>
          <cell r="D1814" t="str">
            <v>202</v>
          </cell>
          <cell r="E1814" t="str">
            <v>宇部市</v>
          </cell>
          <cell r="F1814" t="str">
            <v>01</v>
          </cell>
          <cell r="G1814" t="str">
            <v>公共 単独</v>
          </cell>
          <cell r="H1814" t="str">
            <v>公共下水道</v>
          </cell>
          <cell r="I1814" t="str">
            <v>単独</v>
          </cell>
          <cell r="J1814" t="str">
            <v>001</v>
          </cell>
          <cell r="K1814" t="str">
            <v>西部浄化センター</v>
          </cell>
          <cell r="M1814" t="str">
            <v>1</v>
          </cell>
          <cell r="N1814" t="str">
            <v>1</v>
          </cell>
          <cell r="Q1814">
            <v>22402</v>
          </cell>
          <cell r="R1814" t="str">
            <v>昭和</v>
          </cell>
          <cell r="S1814">
            <v>36</v>
          </cell>
          <cell r="T1814">
            <v>5</v>
          </cell>
          <cell r="AB1814">
            <v>59816</v>
          </cell>
          <cell r="AC1814" t="str">
            <v>厚東川水系</v>
          </cell>
          <cell r="AD1814" t="str">
            <v>Ｂ</v>
          </cell>
          <cell r="AE1814" t="str">
            <v>イ</v>
          </cell>
          <cell r="AF1814">
            <v>15</v>
          </cell>
          <cell r="AG1814">
            <v>14</v>
          </cell>
          <cell r="AJ1814" t="str">
            <v>厚東川</v>
          </cell>
          <cell r="AQ1814" t="str">
            <v/>
          </cell>
          <cell r="AR1814" t="str">
            <v>標準活性汚泥法</v>
          </cell>
          <cell r="AS1814" t="str">
            <v>3520201001</v>
          </cell>
          <cell r="AT1814" t="str">
            <v/>
          </cell>
          <cell r="AU1814" t="str">
            <v>10</v>
          </cell>
          <cell r="AV1814" t="str">
            <v>10</v>
          </cell>
          <cell r="AW1814">
            <v>0</v>
          </cell>
          <cell r="AX1814">
            <v>0</v>
          </cell>
          <cell r="AY1814">
            <v>0</v>
          </cell>
          <cell r="AZ1814">
            <v>0</v>
          </cell>
          <cell r="BA1814">
            <v>0</v>
          </cell>
          <cell r="BD1814" t="str">
            <v/>
          </cell>
          <cell r="BE1814">
            <v>1</v>
          </cell>
          <cell r="BG1814" t="str">
            <v>1100</v>
          </cell>
        </row>
        <row r="1815">
          <cell r="B1815" t="str">
            <v>G352020106100200</v>
          </cell>
          <cell r="C1815" t="str">
            <v>35.山口県</v>
          </cell>
          <cell r="D1815" t="str">
            <v>202</v>
          </cell>
          <cell r="E1815" t="str">
            <v>宇部市</v>
          </cell>
          <cell r="F1815" t="str">
            <v>01</v>
          </cell>
          <cell r="G1815" t="str">
            <v>公共 単独</v>
          </cell>
          <cell r="H1815" t="str">
            <v>公共下水道</v>
          </cell>
          <cell r="I1815" t="str">
            <v>単独</v>
          </cell>
          <cell r="J1815" t="str">
            <v>002</v>
          </cell>
          <cell r="K1815" t="str">
            <v>東部浄化センター</v>
          </cell>
          <cell r="M1815" t="str">
            <v>1</v>
          </cell>
          <cell r="N1815" t="str">
            <v>1</v>
          </cell>
          <cell r="P1815" t="str">
            <v>1</v>
          </cell>
          <cell r="Q1815">
            <v>22890</v>
          </cell>
          <cell r="R1815" t="str">
            <v>昭和</v>
          </cell>
          <cell r="S1815">
            <v>37</v>
          </cell>
          <cell r="T1815">
            <v>9</v>
          </cell>
          <cell r="AB1815">
            <v>58019</v>
          </cell>
          <cell r="AC1815" t="str">
            <v>宇部東港</v>
          </cell>
          <cell r="AD1815" t="str">
            <v>Ｃ</v>
          </cell>
          <cell r="AE1815" t="str">
            <v>イ</v>
          </cell>
          <cell r="AF1815">
            <v>15</v>
          </cell>
          <cell r="AG1815">
            <v>14</v>
          </cell>
          <cell r="AI1815" t="str">
            <v>宇部東港</v>
          </cell>
          <cell r="AQ1815" t="str">
            <v/>
          </cell>
          <cell r="AR1815" t="str">
            <v>標準活性汚泥法</v>
          </cell>
          <cell r="AS1815" t="str">
            <v>3520201002</v>
          </cell>
          <cell r="AT1815" t="str">
            <v/>
          </cell>
          <cell r="AU1815" t="str">
            <v>10</v>
          </cell>
          <cell r="AV1815" t="str">
            <v>10</v>
          </cell>
          <cell r="AW1815">
            <v>1</v>
          </cell>
          <cell r="AX1815">
            <v>0</v>
          </cell>
          <cell r="AY1815">
            <v>0</v>
          </cell>
          <cell r="AZ1815">
            <v>0</v>
          </cell>
          <cell r="BA1815">
            <v>0</v>
          </cell>
          <cell r="BD1815" t="str">
            <v/>
          </cell>
          <cell r="BE1815">
            <v>1</v>
          </cell>
          <cell r="BG1815" t="str">
            <v>1101</v>
          </cell>
        </row>
        <row r="1816">
          <cell r="B1816" t="str">
            <v>G352020106100300</v>
          </cell>
          <cell r="C1816" t="str">
            <v>35.山口県</v>
          </cell>
          <cell r="D1816" t="str">
            <v>202</v>
          </cell>
          <cell r="E1816" t="str">
            <v>宇部市</v>
          </cell>
          <cell r="F1816" t="str">
            <v>01</v>
          </cell>
          <cell r="G1816" t="str">
            <v>公共 単独</v>
          </cell>
          <cell r="H1816" t="str">
            <v>公共下水道</v>
          </cell>
          <cell r="I1816" t="str">
            <v>単独</v>
          </cell>
          <cell r="J1816" t="str">
            <v>003</v>
          </cell>
          <cell r="K1816" t="str">
            <v>楠浄化センター</v>
          </cell>
          <cell r="M1816" t="str">
            <v>1</v>
          </cell>
          <cell r="N1816" t="str">
            <v>1</v>
          </cell>
          <cell r="Q1816">
            <v>36831</v>
          </cell>
          <cell r="R1816" t="str">
            <v>平成</v>
          </cell>
          <cell r="S1816">
            <v>12</v>
          </cell>
          <cell r="T1816">
            <v>11</v>
          </cell>
          <cell r="AB1816">
            <v>15400</v>
          </cell>
          <cell r="AC1816" t="str">
            <v>有帆川水系</v>
          </cell>
          <cell r="AD1816" t="str">
            <v>Ａ</v>
          </cell>
          <cell r="AE1816" t="str">
            <v>イ</v>
          </cell>
          <cell r="AF1816">
            <v>15</v>
          </cell>
          <cell r="AJ1816" t="str">
            <v>有帆川</v>
          </cell>
          <cell r="AQ1816" t="str">
            <v/>
          </cell>
          <cell r="AR1816" t="str">
            <v>オキシディションディッチ法</v>
          </cell>
          <cell r="AS1816" t="str">
            <v>3520201003</v>
          </cell>
          <cell r="AT1816" t="str">
            <v/>
          </cell>
          <cell r="AU1816" t="str">
            <v>10</v>
          </cell>
          <cell r="AV1816" t="str">
            <v>10</v>
          </cell>
          <cell r="AW1816">
            <v>0</v>
          </cell>
          <cell r="AX1816">
            <v>0</v>
          </cell>
          <cell r="AY1816">
            <v>0</v>
          </cell>
          <cell r="AZ1816">
            <v>0</v>
          </cell>
          <cell r="BA1816">
            <v>0</v>
          </cell>
          <cell r="BD1816" t="str">
            <v/>
          </cell>
          <cell r="BE1816">
            <v>1</v>
          </cell>
          <cell r="BG1816" t="str">
            <v>1100</v>
          </cell>
        </row>
        <row r="1817">
          <cell r="B1817" t="str">
            <v>G352030106100100</v>
          </cell>
          <cell r="C1817" t="str">
            <v>35.山口県</v>
          </cell>
          <cell r="D1817" t="str">
            <v>203</v>
          </cell>
          <cell r="E1817" t="str">
            <v>山口市</v>
          </cell>
          <cell r="F1817" t="str">
            <v>01</v>
          </cell>
          <cell r="G1817" t="str">
            <v>公共 単独</v>
          </cell>
          <cell r="H1817" t="str">
            <v>公共下水道</v>
          </cell>
          <cell r="I1817" t="str">
            <v>単独</v>
          </cell>
          <cell r="J1817" t="str">
            <v>001</v>
          </cell>
          <cell r="K1817" t="str">
            <v>山口市小郡浄化センター</v>
          </cell>
          <cell r="M1817" t="str">
            <v>1</v>
          </cell>
          <cell r="N1817" t="str">
            <v>1</v>
          </cell>
          <cell r="Q1817">
            <v>24685</v>
          </cell>
          <cell r="R1817" t="str">
            <v>昭和</v>
          </cell>
          <cell r="S1817">
            <v>42</v>
          </cell>
          <cell r="T1817">
            <v>8</v>
          </cell>
          <cell r="AB1817">
            <v>38400</v>
          </cell>
          <cell r="AC1817" t="str">
            <v>山口・秋穂海域</v>
          </cell>
          <cell r="AD1817" t="str">
            <v>Ａ-Ⅱ</v>
          </cell>
          <cell r="AE1817" t="str">
            <v>イ</v>
          </cell>
          <cell r="AF1817">
            <v>15</v>
          </cell>
          <cell r="AJ1817" t="str">
            <v>椹野川</v>
          </cell>
          <cell r="AQ1817" t="str">
            <v/>
          </cell>
          <cell r="AR1817" t="str">
            <v>標準活性汚泥法</v>
          </cell>
          <cell r="AS1817" t="str">
            <v>3520301001</v>
          </cell>
          <cell r="AT1817" t="str">
            <v/>
          </cell>
          <cell r="AU1817" t="str">
            <v>10</v>
          </cell>
          <cell r="AV1817" t="str">
            <v>10</v>
          </cell>
          <cell r="AW1817">
            <v>0</v>
          </cell>
          <cell r="AX1817">
            <v>0</v>
          </cell>
          <cell r="AY1817">
            <v>0</v>
          </cell>
          <cell r="AZ1817">
            <v>0</v>
          </cell>
          <cell r="BA1817">
            <v>0</v>
          </cell>
          <cell r="BD1817" t="str">
            <v/>
          </cell>
          <cell r="BE1817">
            <v>1</v>
          </cell>
          <cell r="BG1817" t="str">
            <v>1100</v>
          </cell>
        </row>
        <row r="1818">
          <cell r="B1818" t="str">
            <v>G352030106100200</v>
          </cell>
          <cell r="C1818" t="str">
            <v>35.山口県</v>
          </cell>
          <cell r="D1818" t="str">
            <v>203</v>
          </cell>
          <cell r="E1818" t="str">
            <v>山口市</v>
          </cell>
          <cell r="F1818" t="str">
            <v>01</v>
          </cell>
          <cell r="G1818" t="str">
            <v>公共 単独</v>
          </cell>
          <cell r="H1818" t="str">
            <v>公共下水道</v>
          </cell>
          <cell r="I1818" t="str">
            <v>単独</v>
          </cell>
          <cell r="J1818" t="str">
            <v>002</v>
          </cell>
          <cell r="K1818" t="str">
            <v>山口市浄水センター</v>
          </cell>
          <cell r="M1818" t="str">
            <v>1</v>
          </cell>
          <cell r="N1818" t="str">
            <v>1</v>
          </cell>
          <cell r="Q1818">
            <v>29921</v>
          </cell>
          <cell r="R1818" t="str">
            <v>昭和</v>
          </cell>
          <cell r="S1818">
            <v>56</v>
          </cell>
          <cell r="T1818">
            <v>12</v>
          </cell>
          <cell r="AB1818">
            <v>69000</v>
          </cell>
          <cell r="AC1818" t="str">
            <v>椹野川水系</v>
          </cell>
          <cell r="AD1818" t="str">
            <v>Ｂ</v>
          </cell>
          <cell r="AE1818" t="str">
            <v>イ</v>
          </cell>
          <cell r="AF1818">
            <v>15</v>
          </cell>
          <cell r="AG1818">
            <v>14</v>
          </cell>
          <cell r="AH1818">
            <v>2.6</v>
          </cell>
          <cell r="AI1818" t="str">
            <v>椹野川</v>
          </cell>
          <cell r="AL1818" t="str">
            <v>上郷取水場</v>
          </cell>
          <cell r="AM1818">
            <v>0.7</v>
          </cell>
          <cell r="AO1818" t="str">
            <v>山口市</v>
          </cell>
          <cell r="AQ1818" t="str">
            <v/>
          </cell>
          <cell r="AR1818" t="str">
            <v>ステップ流入式多段硝化脱窒法</v>
          </cell>
          <cell r="AS1818" t="str">
            <v>3520301002</v>
          </cell>
          <cell r="AT1818" t="str">
            <v/>
          </cell>
          <cell r="AU1818" t="str">
            <v>10</v>
          </cell>
          <cell r="AV1818" t="str">
            <v>10</v>
          </cell>
          <cell r="AW1818">
            <v>0</v>
          </cell>
          <cell r="AX1818">
            <v>0</v>
          </cell>
          <cell r="AY1818">
            <v>0</v>
          </cell>
          <cell r="AZ1818">
            <v>0</v>
          </cell>
          <cell r="BA1818">
            <v>0</v>
          </cell>
          <cell r="BD1818" t="str">
            <v/>
          </cell>
          <cell r="BE1818">
            <v>1</v>
          </cell>
          <cell r="BG1818" t="str">
            <v>1100</v>
          </cell>
        </row>
        <row r="1819">
          <cell r="B1819" t="str">
            <v>G352030106100300</v>
          </cell>
          <cell r="C1819" t="str">
            <v>35.山口県</v>
          </cell>
          <cell r="D1819" t="str">
            <v>203</v>
          </cell>
          <cell r="E1819" t="str">
            <v>山口市</v>
          </cell>
          <cell r="F1819" t="str">
            <v>01</v>
          </cell>
          <cell r="G1819" t="str">
            <v>公共 単独</v>
          </cell>
          <cell r="H1819" t="str">
            <v>公共下水道</v>
          </cell>
          <cell r="I1819" t="str">
            <v>単独</v>
          </cell>
          <cell r="J1819" t="str">
            <v>003</v>
          </cell>
          <cell r="K1819" t="str">
            <v>秋穂終末処理場</v>
          </cell>
          <cell r="M1819" t="str">
            <v>1</v>
          </cell>
          <cell r="N1819" t="str">
            <v>1</v>
          </cell>
          <cell r="Q1819">
            <v>38443</v>
          </cell>
          <cell r="R1819" t="str">
            <v>平成</v>
          </cell>
          <cell r="S1819">
            <v>17</v>
          </cell>
          <cell r="T1819">
            <v>4</v>
          </cell>
          <cell r="AB1819">
            <v>8700</v>
          </cell>
          <cell r="AD1819" t="str">
            <v>Ａ-Ⅱ</v>
          </cell>
          <cell r="AF1819">
            <v>15</v>
          </cell>
          <cell r="AJ1819" t="str">
            <v>長沢川</v>
          </cell>
          <cell r="AQ1819" t="str">
            <v/>
          </cell>
          <cell r="AR1819" t="str">
            <v>オキシディションディッチ法</v>
          </cell>
          <cell r="AS1819" t="str">
            <v>3520301003</v>
          </cell>
          <cell r="AT1819" t="str">
            <v/>
          </cell>
          <cell r="AU1819" t="str">
            <v>10</v>
          </cell>
          <cell r="AV1819" t="str">
            <v>10</v>
          </cell>
          <cell r="AW1819">
            <v>0</v>
          </cell>
          <cell r="AX1819">
            <v>0</v>
          </cell>
          <cell r="AY1819">
            <v>0</v>
          </cell>
          <cell r="AZ1819">
            <v>0</v>
          </cell>
          <cell r="BA1819">
            <v>0</v>
          </cell>
          <cell r="BD1819" t="str">
            <v/>
          </cell>
          <cell r="BE1819">
            <v>1</v>
          </cell>
          <cell r="BG1819" t="str">
            <v>1100</v>
          </cell>
        </row>
        <row r="1820">
          <cell r="B1820" t="str">
            <v>G352030206100400</v>
          </cell>
          <cell r="C1820" t="str">
            <v>35.山口県</v>
          </cell>
          <cell r="D1820" t="str">
            <v>203</v>
          </cell>
          <cell r="E1820" t="str">
            <v>山口市</v>
          </cell>
          <cell r="F1820" t="str">
            <v>02</v>
          </cell>
          <cell r="G1820" t="str">
            <v>特環 単独</v>
          </cell>
          <cell r="H1820" t="str">
            <v>特定環境保全公共下水道</v>
          </cell>
          <cell r="I1820" t="str">
            <v>単独</v>
          </cell>
          <cell r="J1820" t="str">
            <v>004</v>
          </cell>
          <cell r="K1820" t="str">
            <v>山口市川西浄水センター</v>
          </cell>
          <cell r="M1820" t="str">
            <v>1</v>
          </cell>
          <cell r="N1820" t="str">
            <v>1</v>
          </cell>
          <cell r="Q1820">
            <v>39600</v>
          </cell>
          <cell r="R1820" t="str">
            <v>平成</v>
          </cell>
          <cell r="S1820">
            <v>20</v>
          </cell>
          <cell r="T1820">
            <v>6</v>
          </cell>
          <cell r="AB1820">
            <v>19000</v>
          </cell>
          <cell r="AC1820" t="str">
            <v>山口秋穂海域</v>
          </cell>
          <cell r="AD1820" t="str">
            <v>Ａ-Ⅱ</v>
          </cell>
          <cell r="AF1820">
            <v>15</v>
          </cell>
          <cell r="AG1820">
            <v>14</v>
          </cell>
          <cell r="AI1820" t="str">
            <v>山口湾</v>
          </cell>
          <cell r="AQ1820" t="str">
            <v/>
          </cell>
          <cell r="AR1820" t="str">
            <v>高度処理オキシディションディッチ法</v>
          </cell>
          <cell r="AS1820" t="str">
            <v>3520302004</v>
          </cell>
          <cell r="AT1820" t="str">
            <v/>
          </cell>
          <cell r="AU1820" t="str">
            <v>10</v>
          </cell>
          <cell r="AV1820" t="str">
            <v>10</v>
          </cell>
          <cell r="AW1820">
            <v>0</v>
          </cell>
          <cell r="AX1820">
            <v>0</v>
          </cell>
          <cell r="AY1820">
            <v>0</v>
          </cell>
          <cell r="AZ1820">
            <v>0</v>
          </cell>
          <cell r="BA1820">
            <v>0</v>
          </cell>
          <cell r="BD1820" t="str">
            <v/>
          </cell>
          <cell r="BE1820">
            <v>1</v>
          </cell>
          <cell r="BG1820" t="str">
            <v>1100</v>
          </cell>
        </row>
        <row r="1821">
          <cell r="B1821" t="str">
            <v>G352040106100100</v>
          </cell>
          <cell r="C1821" t="str">
            <v>35.山口県</v>
          </cell>
          <cell r="D1821" t="str">
            <v>204</v>
          </cell>
          <cell r="E1821" t="str">
            <v>萩市</v>
          </cell>
          <cell r="F1821" t="str">
            <v>01</v>
          </cell>
          <cell r="G1821" t="str">
            <v>公共 単独</v>
          </cell>
          <cell r="H1821" t="str">
            <v>公共下水道</v>
          </cell>
          <cell r="I1821" t="str">
            <v>単独</v>
          </cell>
          <cell r="J1821" t="str">
            <v>001</v>
          </cell>
          <cell r="K1821" t="str">
            <v>萩浄化センター</v>
          </cell>
          <cell r="M1821" t="str">
            <v>1</v>
          </cell>
          <cell r="N1821" t="str">
            <v>1</v>
          </cell>
          <cell r="Q1821">
            <v>31138</v>
          </cell>
          <cell r="R1821" t="str">
            <v>昭和</v>
          </cell>
          <cell r="S1821">
            <v>60</v>
          </cell>
          <cell r="T1821">
            <v>4</v>
          </cell>
          <cell r="AB1821">
            <v>54190</v>
          </cell>
          <cell r="AC1821" t="str">
            <v>萩地先海域日本海海域</v>
          </cell>
          <cell r="AD1821" t="str">
            <v>Ａ</v>
          </cell>
          <cell r="AE1821" t="str">
            <v>イ</v>
          </cell>
          <cell r="AF1821">
            <v>15</v>
          </cell>
          <cell r="AI1821" t="str">
            <v>日本海</v>
          </cell>
          <cell r="AQ1821" t="str">
            <v/>
          </cell>
          <cell r="AR1821" t="str">
            <v>ステップエアレーション法</v>
          </cell>
          <cell r="AS1821" t="str">
            <v>3520401001</v>
          </cell>
          <cell r="AT1821" t="str">
            <v/>
          </cell>
          <cell r="AU1821" t="str">
            <v>10</v>
          </cell>
          <cell r="AV1821" t="str">
            <v>10</v>
          </cell>
          <cell r="AW1821">
            <v>0</v>
          </cell>
          <cell r="AX1821">
            <v>0</v>
          </cell>
          <cell r="AY1821">
            <v>0</v>
          </cell>
          <cell r="AZ1821">
            <v>0</v>
          </cell>
          <cell r="BA1821">
            <v>0</v>
          </cell>
          <cell r="BD1821" t="str">
            <v/>
          </cell>
          <cell r="BE1821">
            <v>1</v>
          </cell>
          <cell r="BG1821" t="str">
            <v>1100</v>
          </cell>
        </row>
        <row r="1822">
          <cell r="B1822" t="str">
            <v>G352040206100200</v>
          </cell>
          <cell r="C1822" t="str">
            <v>35.山口県</v>
          </cell>
          <cell r="D1822" t="str">
            <v>204</v>
          </cell>
          <cell r="E1822" t="str">
            <v>萩市</v>
          </cell>
          <cell r="F1822" t="str">
            <v>02</v>
          </cell>
          <cell r="G1822" t="str">
            <v>特環 単独</v>
          </cell>
          <cell r="H1822" t="str">
            <v>特定環境保全公共下水道</v>
          </cell>
          <cell r="I1822" t="str">
            <v>単独</v>
          </cell>
          <cell r="J1822" t="str">
            <v>002</v>
          </cell>
          <cell r="K1822" t="str">
            <v>須佐浄化センター</v>
          </cell>
          <cell r="M1822" t="str">
            <v>1</v>
          </cell>
          <cell r="N1822" t="str">
            <v>1</v>
          </cell>
          <cell r="Q1822">
            <v>37712</v>
          </cell>
          <cell r="R1822" t="str">
            <v>平成</v>
          </cell>
          <cell r="S1822">
            <v>15</v>
          </cell>
          <cell r="T1822">
            <v>4</v>
          </cell>
          <cell r="AB1822">
            <v>4493</v>
          </cell>
          <cell r="AI1822" t="str">
            <v>清水川</v>
          </cell>
          <cell r="AJ1822" t="str">
            <v>須佐川</v>
          </cell>
          <cell r="AQ1822" t="str">
            <v/>
          </cell>
          <cell r="AR1822" t="str">
            <v>オキシディションディッチ法</v>
          </cell>
          <cell r="AS1822" t="str">
            <v>3520402002</v>
          </cell>
          <cell r="AT1822" t="str">
            <v/>
          </cell>
          <cell r="AU1822" t="str">
            <v>10</v>
          </cell>
          <cell r="AV1822" t="str">
            <v>10</v>
          </cell>
          <cell r="AW1822">
            <v>0</v>
          </cell>
          <cell r="AX1822">
            <v>0</v>
          </cell>
          <cell r="AY1822">
            <v>0</v>
          </cell>
          <cell r="AZ1822">
            <v>0</v>
          </cell>
          <cell r="BA1822">
            <v>0</v>
          </cell>
          <cell r="BD1822" t="str">
            <v/>
          </cell>
          <cell r="BE1822">
            <v>1</v>
          </cell>
          <cell r="BG1822" t="str">
            <v>1100</v>
          </cell>
        </row>
        <row r="1823">
          <cell r="B1823" t="str">
            <v>G352060106100100</v>
          </cell>
          <cell r="C1823" t="str">
            <v>35.山口県</v>
          </cell>
          <cell r="D1823" t="str">
            <v>206</v>
          </cell>
          <cell r="E1823" t="str">
            <v>防府市</v>
          </cell>
          <cell r="F1823" t="str">
            <v>01</v>
          </cell>
          <cell r="G1823" t="str">
            <v>公共 単独</v>
          </cell>
          <cell r="H1823" t="str">
            <v>公共下水道</v>
          </cell>
          <cell r="I1823" t="str">
            <v>単独</v>
          </cell>
          <cell r="J1823" t="str">
            <v>001</v>
          </cell>
          <cell r="K1823" t="str">
            <v>防府浄化センター</v>
          </cell>
          <cell r="M1823" t="str">
            <v>1</v>
          </cell>
          <cell r="N1823" t="str">
            <v>1</v>
          </cell>
          <cell r="O1823" t="str">
            <v>1</v>
          </cell>
          <cell r="P1823" t="str">
            <v>1</v>
          </cell>
          <cell r="Q1823">
            <v>28522</v>
          </cell>
          <cell r="R1823" t="str">
            <v>昭和</v>
          </cell>
          <cell r="S1823">
            <v>53</v>
          </cell>
          <cell r="T1823">
            <v>2</v>
          </cell>
          <cell r="AB1823">
            <v>72335</v>
          </cell>
          <cell r="AC1823" t="str">
            <v>三田尻湾</v>
          </cell>
          <cell r="AD1823" t="str">
            <v>Ｃ</v>
          </cell>
          <cell r="AE1823" t="str">
            <v>ロ</v>
          </cell>
          <cell r="AF1823">
            <v>15</v>
          </cell>
          <cell r="AI1823" t="str">
            <v>周防灘</v>
          </cell>
          <cell r="AQ1823" t="str">
            <v/>
          </cell>
          <cell r="AR1823" t="str">
            <v>標準活性汚泥法</v>
          </cell>
          <cell r="AS1823" t="str">
            <v>3520601001</v>
          </cell>
          <cell r="AT1823" t="str">
            <v/>
          </cell>
          <cell r="AU1823" t="str">
            <v>11</v>
          </cell>
          <cell r="AV1823" t="str">
            <v>11</v>
          </cell>
          <cell r="AW1823">
            <v>1</v>
          </cell>
          <cell r="AX1823">
            <v>0</v>
          </cell>
          <cell r="AY1823">
            <v>0</v>
          </cell>
          <cell r="AZ1823">
            <v>0</v>
          </cell>
          <cell r="BA1823">
            <v>0</v>
          </cell>
          <cell r="BD1823" t="str">
            <v/>
          </cell>
          <cell r="BE1823">
            <v>1</v>
          </cell>
          <cell r="BG1823" t="str">
            <v>1111</v>
          </cell>
        </row>
        <row r="1824">
          <cell r="B1824" t="str">
            <v>G352070106100100</v>
          </cell>
          <cell r="C1824" t="str">
            <v>35.山口県</v>
          </cell>
          <cell r="D1824" t="str">
            <v>207</v>
          </cell>
          <cell r="E1824" t="str">
            <v>下松市</v>
          </cell>
          <cell r="F1824" t="str">
            <v>01</v>
          </cell>
          <cell r="G1824" t="str">
            <v>公共 単独</v>
          </cell>
          <cell r="H1824" t="str">
            <v>公共下水道</v>
          </cell>
          <cell r="I1824" t="str">
            <v>単独</v>
          </cell>
          <cell r="J1824" t="str">
            <v>001</v>
          </cell>
          <cell r="K1824" t="str">
            <v>下松市浄化センター</v>
          </cell>
          <cell r="M1824" t="str">
            <v>1</v>
          </cell>
          <cell r="N1824" t="str">
            <v>1</v>
          </cell>
          <cell r="Q1824">
            <v>28581</v>
          </cell>
          <cell r="R1824" t="str">
            <v>昭和</v>
          </cell>
          <cell r="S1824">
            <v>53</v>
          </cell>
          <cell r="T1824">
            <v>4</v>
          </cell>
          <cell r="AB1824">
            <v>26170</v>
          </cell>
          <cell r="AC1824" t="str">
            <v>切戸川水域</v>
          </cell>
          <cell r="AD1824" t="str">
            <v>Ｂ</v>
          </cell>
          <cell r="AE1824" t="str">
            <v>ロ</v>
          </cell>
          <cell r="AF1824">
            <v>15</v>
          </cell>
          <cell r="AJ1824" t="str">
            <v>切戸川</v>
          </cell>
          <cell r="AQ1824" t="str">
            <v/>
          </cell>
          <cell r="AR1824" t="str">
            <v>標準活性汚泥法</v>
          </cell>
          <cell r="AS1824" t="str">
            <v>3520701001</v>
          </cell>
          <cell r="AT1824" t="str">
            <v/>
          </cell>
          <cell r="AU1824" t="str">
            <v>10</v>
          </cell>
          <cell r="AV1824" t="str">
            <v>10</v>
          </cell>
          <cell r="AW1824">
            <v>0</v>
          </cell>
          <cell r="AX1824">
            <v>0</v>
          </cell>
          <cell r="AY1824">
            <v>0</v>
          </cell>
          <cell r="AZ1824">
            <v>0</v>
          </cell>
          <cell r="BA1824">
            <v>0</v>
          </cell>
          <cell r="BD1824" t="str">
            <v/>
          </cell>
          <cell r="BE1824">
            <v>1</v>
          </cell>
          <cell r="BG1824" t="str">
            <v>1100</v>
          </cell>
        </row>
        <row r="1825">
          <cell r="B1825" t="str">
            <v>G352080106100100</v>
          </cell>
          <cell r="C1825" t="str">
            <v>35.山口県</v>
          </cell>
          <cell r="D1825" t="str">
            <v>208</v>
          </cell>
          <cell r="E1825" t="str">
            <v>岩国市</v>
          </cell>
          <cell r="F1825" t="str">
            <v>01</v>
          </cell>
          <cell r="G1825" t="str">
            <v>公共 単独</v>
          </cell>
          <cell r="H1825" t="str">
            <v>公共下水道</v>
          </cell>
          <cell r="I1825" t="str">
            <v>単独</v>
          </cell>
          <cell r="J1825" t="str">
            <v>001</v>
          </cell>
          <cell r="K1825" t="str">
            <v>一文字終末処理場</v>
          </cell>
          <cell r="M1825" t="str">
            <v>1</v>
          </cell>
          <cell r="N1825" t="str">
            <v>1</v>
          </cell>
          <cell r="P1825" t="str">
            <v>1</v>
          </cell>
          <cell r="Q1825">
            <v>29860</v>
          </cell>
          <cell r="R1825" t="str">
            <v>昭和</v>
          </cell>
          <cell r="S1825">
            <v>56</v>
          </cell>
          <cell r="T1825">
            <v>10</v>
          </cell>
          <cell r="AB1825">
            <v>39600</v>
          </cell>
          <cell r="AC1825" t="str">
            <v>広島湾西部水域</v>
          </cell>
          <cell r="AD1825" t="str">
            <v>Ｃ</v>
          </cell>
          <cell r="AE1825" t="str">
            <v>ロ</v>
          </cell>
          <cell r="AF1825">
            <v>15</v>
          </cell>
          <cell r="AI1825" t="str">
            <v>広島湾西部水域</v>
          </cell>
          <cell r="AQ1825" t="str">
            <v/>
          </cell>
          <cell r="AR1825" t="str">
            <v>標準活性汚泥法</v>
          </cell>
          <cell r="AS1825" t="str">
            <v>3520801001</v>
          </cell>
          <cell r="AT1825" t="str">
            <v/>
          </cell>
          <cell r="AU1825" t="str">
            <v>10</v>
          </cell>
          <cell r="AV1825" t="str">
            <v>10</v>
          </cell>
          <cell r="AW1825">
            <v>1</v>
          </cell>
          <cell r="AX1825">
            <v>0</v>
          </cell>
          <cell r="AY1825">
            <v>0</v>
          </cell>
          <cell r="AZ1825">
            <v>0</v>
          </cell>
          <cell r="BA1825">
            <v>0</v>
          </cell>
          <cell r="BD1825" t="str">
            <v/>
          </cell>
          <cell r="BE1825">
            <v>1</v>
          </cell>
          <cell r="BG1825" t="str">
            <v>1101</v>
          </cell>
        </row>
        <row r="1826">
          <cell r="B1826" t="str">
            <v>G352080106100200</v>
          </cell>
          <cell r="C1826" t="str">
            <v>35.山口県</v>
          </cell>
          <cell r="D1826" t="str">
            <v>208</v>
          </cell>
          <cell r="E1826" t="str">
            <v>岩国市</v>
          </cell>
          <cell r="F1826" t="str">
            <v>01</v>
          </cell>
          <cell r="G1826" t="str">
            <v>公共 単独</v>
          </cell>
          <cell r="H1826" t="str">
            <v>公共下水道</v>
          </cell>
          <cell r="I1826" t="str">
            <v>単独</v>
          </cell>
          <cell r="J1826" t="str">
            <v>002</v>
          </cell>
          <cell r="K1826" t="str">
            <v>由宇浄化センター</v>
          </cell>
          <cell r="M1826" t="str">
            <v>1</v>
          </cell>
          <cell r="N1826" t="str">
            <v>1</v>
          </cell>
          <cell r="Q1826">
            <v>38777</v>
          </cell>
          <cell r="R1826" t="str">
            <v>平成</v>
          </cell>
          <cell r="S1826">
            <v>18</v>
          </cell>
          <cell r="T1826">
            <v>3</v>
          </cell>
          <cell r="V1826">
            <v>40118</v>
          </cell>
          <cell r="W1826" t="str">
            <v>平成</v>
          </cell>
          <cell r="X1826">
            <v>21</v>
          </cell>
          <cell r="Y1826">
            <v>11</v>
          </cell>
          <cell r="AB1826">
            <v>9702</v>
          </cell>
          <cell r="AC1826" t="str">
            <v>広島湾西部水域</v>
          </cell>
          <cell r="AD1826" t="str">
            <v>Ａ</v>
          </cell>
          <cell r="AE1826" t="str">
            <v>イ</v>
          </cell>
          <cell r="AF1826">
            <v>15</v>
          </cell>
          <cell r="AG1826">
            <v>10</v>
          </cell>
          <cell r="AH1826">
            <v>1</v>
          </cell>
          <cell r="AI1826" t="str">
            <v>瀬戸内海</v>
          </cell>
          <cell r="AL1826" t="str">
            <v>岩国市水道局ポンプ</v>
          </cell>
          <cell r="AM1826">
            <v>2</v>
          </cell>
          <cell r="AO1826" t="str">
            <v>岩国市</v>
          </cell>
          <cell r="AQ1826" t="str">
            <v/>
          </cell>
          <cell r="AR1826" t="str">
            <v>長時間エアレーション法</v>
          </cell>
          <cell r="AS1826" t="str">
            <v>3520801002</v>
          </cell>
          <cell r="AT1826" t="str">
            <v/>
          </cell>
          <cell r="AU1826" t="str">
            <v>10</v>
          </cell>
          <cell r="AV1826" t="str">
            <v>10</v>
          </cell>
          <cell r="AW1826">
            <v>0</v>
          </cell>
          <cell r="AX1826">
            <v>0</v>
          </cell>
          <cell r="AY1826">
            <v>0</v>
          </cell>
          <cell r="AZ1826">
            <v>0</v>
          </cell>
          <cell r="BA1826">
            <v>0</v>
          </cell>
          <cell r="BD1826" t="str">
            <v/>
          </cell>
          <cell r="BE1826">
            <v>1</v>
          </cell>
          <cell r="BG1826" t="str">
            <v>1100</v>
          </cell>
        </row>
        <row r="1827">
          <cell r="B1827" t="str">
            <v>G352080106100300</v>
          </cell>
          <cell r="C1827" t="str">
            <v>35.山口県</v>
          </cell>
          <cell r="D1827" t="str">
            <v>208</v>
          </cell>
          <cell r="E1827" t="str">
            <v>岩国市</v>
          </cell>
          <cell r="F1827" t="str">
            <v>01</v>
          </cell>
          <cell r="G1827" t="str">
            <v>公共 単独</v>
          </cell>
          <cell r="H1827" t="str">
            <v>公共下水道</v>
          </cell>
          <cell r="I1827" t="str">
            <v>単独</v>
          </cell>
          <cell r="J1827" t="str">
            <v>003</v>
          </cell>
          <cell r="K1827" t="str">
            <v>岩国南せせらぎセンター</v>
          </cell>
          <cell r="M1827" t="str">
            <v>1</v>
          </cell>
          <cell r="N1827" t="str">
            <v>1</v>
          </cell>
          <cell r="Q1827">
            <v>39873</v>
          </cell>
          <cell r="R1827" t="str">
            <v>平成</v>
          </cell>
          <cell r="S1827">
            <v>21</v>
          </cell>
          <cell r="T1827">
            <v>3</v>
          </cell>
          <cell r="AB1827">
            <v>36000</v>
          </cell>
          <cell r="AC1827" t="str">
            <v>広島湾西部水域</v>
          </cell>
          <cell r="AD1827" t="str">
            <v>Ａ</v>
          </cell>
          <cell r="AE1827" t="str">
            <v>イ</v>
          </cell>
          <cell r="AF1827">
            <v>15</v>
          </cell>
          <cell r="AG1827">
            <v>14</v>
          </cell>
          <cell r="AH1827">
            <v>1</v>
          </cell>
          <cell r="AI1827" t="str">
            <v>広島湾西部水域</v>
          </cell>
          <cell r="AQ1827" t="str">
            <v/>
          </cell>
          <cell r="AR1827" t="str">
            <v>ステップ流入式多段硝化脱窒法</v>
          </cell>
          <cell r="AS1827" t="str">
            <v>3520801003</v>
          </cell>
          <cell r="AT1827" t="str">
            <v/>
          </cell>
          <cell r="AU1827" t="str">
            <v>10</v>
          </cell>
          <cell r="AV1827" t="str">
            <v>10</v>
          </cell>
          <cell r="AW1827">
            <v>0</v>
          </cell>
          <cell r="AX1827">
            <v>0</v>
          </cell>
          <cell r="AY1827">
            <v>0</v>
          </cell>
          <cell r="AZ1827">
            <v>0</v>
          </cell>
          <cell r="BA1827">
            <v>0</v>
          </cell>
          <cell r="BD1827" t="str">
            <v/>
          </cell>
          <cell r="BE1827">
            <v>1</v>
          </cell>
          <cell r="BG1827" t="str">
            <v>1100</v>
          </cell>
        </row>
        <row r="1828">
          <cell r="B1828" t="str">
            <v>G352080206100400</v>
          </cell>
          <cell r="C1828" t="str">
            <v>35.山口県</v>
          </cell>
          <cell r="D1828" t="str">
            <v>208</v>
          </cell>
          <cell r="E1828" t="str">
            <v>岩国市</v>
          </cell>
          <cell r="F1828" t="str">
            <v>02</v>
          </cell>
          <cell r="G1828" t="str">
            <v>特環 単独</v>
          </cell>
          <cell r="H1828" t="str">
            <v>特定環境保全公共下水道</v>
          </cell>
          <cell r="I1828" t="str">
            <v>単独</v>
          </cell>
          <cell r="J1828" t="str">
            <v>004</v>
          </cell>
          <cell r="K1828" t="str">
            <v>広瀬浄化センター</v>
          </cell>
          <cell r="M1828" t="str">
            <v>1</v>
          </cell>
          <cell r="N1828" t="str">
            <v>1</v>
          </cell>
          <cell r="Q1828">
            <v>37043</v>
          </cell>
          <cell r="R1828" t="str">
            <v>平成</v>
          </cell>
          <cell r="S1828">
            <v>13</v>
          </cell>
          <cell r="T1828">
            <v>6</v>
          </cell>
          <cell r="AB1828">
            <v>3900</v>
          </cell>
          <cell r="AC1828" t="str">
            <v>瀬戸内海</v>
          </cell>
          <cell r="AD1828" t="str">
            <v>Ａ</v>
          </cell>
          <cell r="AE1828" t="str">
            <v>イ</v>
          </cell>
          <cell r="AF1828">
            <v>20</v>
          </cell>
          <cell r="AJ1828" t="str">
            <v>錦川</v>
          </cell>
          <cell r="AL1828" t="str">
            <v>岩国市水道局取水口</v>
          </cell>
          <cell r="AN1828">
            <v>35</v>
          </cell>
          <cell r="AO1828" t="str">
            <v>岩国市</v>
          </cell>
          <cell r="AQ1828" t="str">
            <v/>
          </cell>
          <cell r="AR1828" t="str">
            <v>好気性ろ床法</v>
          </cell>
          <cell r="AS1828" t="str">
            <v>3520802004</v>
          </cell>
          <cell r="AT1828" t="str">
            <v/>
          </cell>
          <cell r="AU1828" t="str">
            <v>10</v>
          </cell>
          <cell r="AV1828" t="str">
            <v>10</v>
          </cell>
          <cell r="AW1828">
            <v>0</v>
          </cell>
          <cell r="AX1828">
            <v>0</v>
          </cell>
          <cell r="AY1828">
            <v>0</v>
          </cell>
          <cell r="AZ1828">
            <v>0</v>
          </cell>
          <cell r="BA1828">
            <v>0</v>
          </cell>
          <cell r="BD1828" t="str">
            <v/>
          </cell>
          <cell r="BE1828">
            <v>1</v>
          </cell>
          <cell r="BG1828" t="str">
            <v>1100</v>
          </cell>
        </row>
        <row r="1829">
          <cell r="B1829" t="str">
            <v>G352110106100100</v>
          </cell>
          <cell r="C1829" t="str">
            <v>35.山口県</v>
          </cell>
          <cell r="D1829" t="str">
            <v>211</v>
          </cell>
          <cell r="E1829" t="str">
            <v>長門市</v>
          </cell>
          <cell r="F1829" t="str">
            <v>01</v>
          </cell>
          <cell r="G1829" t="str">
            <v>公共 単独</v>
          </cell>
          <cell r="H1829" t="str">
            <v>公共下水道</v>
          </cell>
          <cell r="I1829" t="str">
            <v>単独</v>
          </cell>
          <cell r="J1829" t="str">
            <v>001</v>
          </cell>
          <cell r="K1829" t="str">
            <v>俵山浄化センター</v>
          </cell>
          <cell r="M1829" t="str">
            <v>1</v>
          </cell>
          <cell r="N1829" t="str">
            <v>1</v>
          </cell>
          <cell r="Q1829">
            <v>22828</v>
          </cell>
          <cell r="R1829" t="str">
            <v>昭和</v>
          </cell>
          <cell r="S1829">
            <v>37</v>
          </cell>
          <cell r="T1829">
            <v>7</v>
          </cell>
          <cell r="AB1829">
            <v>1400</v>
          </cell>
          <cell r="AC1829" t="str">
            <v>木屋川ダム貯水池</v>
          </cell>
          <cell r="AD1829" t="str">
            <v>Ａ</v>
          </cell>
          <cell r="AE1829" t="str">
            <v>イ</v>
          </cell>
          <cell r="AF1829">
            <v>15</v>
          </cell>
          <cell r="AG1829">
            <v>10</v>
          </cell>
          <cell r="AH1829">
            <v>2</v>
          </cell>
          <cell r="AI1829" t="str">
            <v>木屋川</v>
          </cell>
          <cell r="AJ1829" t="str">
            <v>木屋川</v>
          </cell>
          <cell r="AL1829" t="str">
            <v>山口県企業局木屋川利水事務所</v>
          </cell>
          <cell r="AN1829">
            <v>19</v>
          </cell>
          <cell r="AO1829" t="str">
            <v>下関市</v>
          </cell>
          <cell r="AQ1829" t="str">
            <v/>
          </cell>
          <cell r="AR1829" t="str">
            <v>その他処理方法</v>
          </cell>
          <cell r="AS1829" t="str">
            <v>3521101001</v>
          </cell>
          <cell r="AT1829" t="str">
            <v/>
          </cell>
          <cell r="AU1829" t="str">
            <v>10</v>
          </cell>
          <cell r="AV1829" t="str">
            <v>10</v>
          </cell>
          <cell r="AW1829">
            <v>0</v>
          </cell>
          <cell r="AX1829">
            <v>0</v>
          </cell>
          <cell r="AY1829">
            <v>0</v>
          </cell>
          <cell r="AZ1829">
            <v>0</v>
          </cell>
          <cell r="BA1829">
            <v>0</v>
          </cell>
          <cell r="BD1829" t="str">
            <v/>
          </cell>
          <cell r="BE1829">
            <v>1</v>
          </cell>
          <cell r="BG1829" t="str">
            <v>1100</v>
          </cell>
        </row>
        <row r="1830">
          <cell r="B1830" t="str">
            <v>G352110106100200</v>
          </cell>
          <cell r="C1830" t="str">
            <v>35.山口県</v>
          </cell>
          <cell r="D1830" t="str">
            <v>211</v>
          </cell>
          <cell r="E1830" t="str">
            <v>長門市</v>
          </cell>
          <cell r="F1830" t="str">
            <v>01</v>
          </cell>
          <cell r="G1830" t="str">
            <v>公共 単独</v>
          </cell>
          <cell r="H1830" t="str">
            <v>公共下水道</v>
          </cell>
          <cell r="I1830" t="str">
            <v>単独</v>
          </cell>
          <cell r="J1830" t="str">
            <v>002</v>
          </cell>
          <cell r="K1830" t="str">
            <v>東深川浄化センター</v>
          </cell>
          <cell r="M1830" t="str">
            <v>1</v>
          </cell>
          <cell r="N1830" t="str">
            <v>1</v>
          </cell>
          <cell r="Q1830">
            <v>26573</v>
          </cell>
          <cell r="R1830" t="str">
            <v>昭和</v>
          </cell>
          <cell r="S1830">
            <v>47</v>
          </cell>
          <cell r="T1830">
            <v>10</v>
          </cell>
          <cell r="AB1830">
            <v>31700</v>
          </cell>
          <cell r="AC1830" t="str">
            <v>深川湾</v>
          </cell>
          <cell r="AD1830" t="str">
            <v>Ａ</v>
          </cell>
          <cell r="AE1830" t="str">
            <v>イ</v>
          </cell>
          <cell r="AF1830">
            <v>15</v>
          </cell>
          <cell r="AI1830" t="str">
            <v>深川湾</v>
          </cell>
          <cell r="AQ1830" t="str">
            <v/>
          </cell>
          <cell r="AR1830" t="str">
            <v>標準活性汚泥法</v>
          </cell>
          <cell r="AS1830" t="str">
            <v>3521101002</v>
          </cell>
          <cell r="AT1830" t="str">
            <v/>
          </cell>
          <cell r="AU1830" t="str">
            <v>10</v>
          </cell>
          <cell r="AV1830" t="str">
            <v>10</v>
          </cell>
          <cell r="AW1830">
            <v>0</v>
          </cell>
          <cell r="AX1830">
            <v>0</v>
          </cell>
          <cell r="AY1830">
            <v>0</v>
          </cell>
          <cell r="AZ1830">
            <v>0</v>
          </cell>
          <cell r="BA1830">
            <v>0</v>
          </cell>
          <cell r="BD1830" t="str">
            <v/>
          </cell>
          <cell r="BE1830">
            <v>1</v>
          </cell>
          <cell r="BG1830" t="str">
            <v>1100</v>
          </cell>
        </row>
        <row r="1831">
          <cell r="B1831" t="str">
            <v>G352110206100300</v>
          </cell>
          <cell r="C1831" t="str">
            <v>35.山口県</v>
          </cell>
          <cell r="D1831" t="str">
            <v>211</v>
          </cell>
          <cell r="E1831" t="str">
            <v>長門市</v>
          </cell>
          <cell r="F1831" t="str">
            <v>02</v>
          </cell>
          <cell r="G1831" t="str">
            <v>特環 単独</v>
          </cell>
          <cell r="H1831" t="str">
            <v>特定環境保全公共下水道</v>
          </cell>
          <cell r="I1831" t="str">
            <v>単独</v>
          </cell>
          <cell r="J1831" t="str">
            <v>003</v>
          </cell>
          <cell r="K1831" t="str">
            <v>黄波戸浄化センター</v>
          </cell>
          <cell r="M1831" t="str">
            <v>1</v>
          </cell>
          <cell r="N1831" t="str">
            <v>1</v>
          </cell>
          <cell r="Q1831">
            <v>36617</v>
          </cell>
          <cell r="R1831" t="str">
            <v>平成</v>
          </cell>
          <cell r="S1831">
            <v>12</v>
          </cell>
          <cell r="T1831">
            <v>4</v>
          </cell>
          <cell r="AB1831">
            <v>1732</v>
          </cell>
          <cell r="AC1831" t="str">
            <v>深川湾</v>
          </cell>
          <cell r="AD1831" t="str">
            <v>Ａ</v>
          </cell>
          <cell r="AE1831" t="str">
            <v>イ</v>
          </cell>
          <cell r="AI1831" t="str">
            <v>成瓜川</v>
          </cell>
          <cell r="AQ1831" t="str">
            <v/>
          </cell>
          <cell r="AR1831" t="str">
            <v>オキシディションディッチ法</v>
          </cell>
          <cell r="AS1831" t="str">
            <v>3521102003</v>
          </cell>
          <cell r="AT1831" t="str">
            <v/>
          </cell>
          <cell r="AU1831" t="str">
            <v>10</v>
          </cell>
          <cell r="AV1831" t="str">
            <v>10</v>
          </cell>
          <cell r="AW1831">
            <v>0</v>
          </cell>
          <cell r="AX1831">
            <v>0</v>
          </cell>
          <cell r="AY1831">
            <v>0</v>
          </cell>
          <cell r="AZ1831">
            <v>0</v>
          </cell>
          <cell r="BA1831">
            <v>0</v>
          </cell>
          <cell r="BD1831" t="str">
            <v/>
          </cell>
          <cell r="BE1831">
            <v>1</v>
          </cell>
          <cell r="BG1831" t="str">
            <v>1100</v>
          </cell>
        </row>
        <row r="1832">
          <cell r="B1832" t="str">
            <v>G352120106100100</v>
          </cell>
          <cell r="C1832" t="str">
            <v>35.山口県</v>
          </cell>
          <cell r="D1832" t="str">
            <v>212</v>
          </cell>
          <cell r="E1832" t="str">
            <v>柳井市</v>
          </cell>
          <cell r="F1832" t="str">
            <v>01</v>
          </cell>
          <cell r="G1832" t="str">
            <v>公共 単独</v>
          </cell>
          <cell r="H1832" t="str">
            <v>公共下水道</v>
          </cell>
          <cell r="I1832" t="str">
            <v>単独</v>
          </cell>
          <cell r="J1832" t="str">
            <v>001</v>
          </cell>
          <cell r="K1832" t="str">
            <v>柳井浄化センター</v>
          </cell>
          <cell r="M1832" t="str">
            <v>1</v>
          </cell>
          <cell r="N1832" t="str">
            <v>1</v>
          </cell>
          <cell r="Q1832">
            <v>34424</v>
          </cell>
          <cell r="R1832" t="str">
            <v>平成</v>
          </cell>
          <cell r="S1832">
            <v>6</v>
          </cell>
          <cell r="T1832">
            <v>3</v>
          </cell>
          <cell r="AB1832">
            <v>34900</v>
          </cell>
          <cell r="AC1832" t="str">
            <v>柳井・大島</v>
          </cell>
          <cell r="AD1832" t="str">
            <v>Ｂ-Ⅱ</v>
          </cell>
          <cell r="AE1832" t="str">
            <v>イ</v>
          </cell>
          <cell r="AF1832">
            <v>15</v>
          </cell>
          <cell r="AG1832">
            <v>19</v>
          </cell>
          <cell r="AH1832">
            <v>3</v>
          </cell>
          <cell r="AI1832" t="str">
            <v>柳井・大島</v>
          </cell>
          <cell r="AQ1832" t="str">
            <v/>
          </cell>
          <cell r="AR1832" t="str">
            <v>オキシディションディッチ法</v>
          </cell>
          <cell r="AS1832" t="str">
            <v>3521201001</v>
          </cell>
          <cell r="AT1832" t="str">
            <v/>
          </cell>
          <cell r="AU1832" t="str">
            <v>10</v>
          </cell>
          <cell r="AV1832" t="str">
            <v>10</v>
          </cell>
          <cell r="AW1832">
            <v>0</v>
          </cell>
          <cell r="AX1832">
            <v>0</v>
          </cell>
          <cell r="AY1832">
            <v>0</v>
          </cell>
          <cell r="AZ1832">
            <v>0</v>
          </cell>
          <cell r="BA1832">
            <v>0</v>
          </cell>
          <cell r="BD1832" t="str">
            <v/>
          </cell>
          <cell r="BE1832">
            <v>1</v>
          </cell>
          <cell r="BG1832" t="str">
            <v>1100</v>
          </cell>
        </row>
        <row r="1833">
          <cell r="B1833" t="str">
            <v>G352130106100100</v>
          </cell>
          <cell r="C1833" t="str">
            <v>35.山口県</v>
          </cell>
          <cell r="D1833" t="str">
            <v>213</v>
          </cell>
          <cell r="E1833" t="str">
            <v>美祢市</v>
          </cell>
          <cell r="F1833" t="str">
            <v>01</v>
          </cell>
          <cell r="G1833" t="str">
            <v>公共 単独</v>
          </cell>
          <cell r="H1833" t="str">
            <v>公共下水道</v>
          </cell>
          <cell r="I1833" t="str">
            <v>単独</v>
          </cell>
          <cell r="J1833" t="str">
            <v>001</v>
          </cell>
          <cell r="K1833" t="str">
            <v>美祢市浄化センター</v>
          </cell>
          <cell r="M1833" t="str">
            <v>1</v>
          </cell>
          <cell r="N1833" t="str">
            <v>1</v>
          </cell>
          <cell r="Q1833">
            <v>32599</v>
          </cell>
          <cell r="R1833" t="str">
            <v>平成</v>
          </cell>
          <cell r="S1833">
            <v>1</v>
          </cell>
          <cell r="T1833">
            <v>4</v>
          </cell>
          <cell r="AB1833">
            <v>23500</v>
          </cell>
          <cell r="AC1833" t="str">
            <v>厚狭川水系</v>
          </cell>
          <cell r="AD1833" t="str">
            <v>Ａ</v>
          </cell>
          <cell r="AE1833" t="str">
            <v>イ</v>
          </cell>
          <cell r="AF1833">
            <v>15</v>
          </cell>
          <cell r="AJ1833" t="str">
            <v>厚狭川</v>
          </cell>
          <cell r="AL1833" t="str">
            <v>鴨庄浄水場</v>
          </cell>
          <cell r="AN1833">
            <v>17</v>
          </cell>
          <cell r="AQ1833" t="str">
            <v/>
          </cell>
          <cell r="AR1833" t="str">
            <v>オキシディションディッチ法</v>
          </cell>
          <cell r="AS1833" t="str">
            <v>3521301001</v>
          </cell>
          <cell r="AT1833" t="str">
            <v/>
          </cell>
          <cell r="AU1833" t="str">
            <v>10</v>
          </cell>
          <cell r="AV1833" t="str">
            <v>10</v>
          </cell>
          <cell r="AW1833">
            <v>0</v>
          </cell>
          <cell r="AX1833">
            <v>0</v>
          </cell>
          <cell r="AY1833">
            <v>0</v>
          </cell>
          <cell r="AZ1833">
            <v>0</v>
          </cell>
          <cell r="BA1833">
            <v>0</v>
          </cell>
          <cell r="BD1833" t="str">
            <v/>
          </cell>
          <cell r="BE1833">
            <v>1</v>
          </cell>
          <cell r="BG1833" t="str">
            <v>1100</v>
          </cell>
        </row>
        <row r="1834">
          <cell r="B1834" t="str">
            <v>G352150106100100</v>
          </cell>
          <cell r="C1834" t="str">
            <v>35.山口県</v>
          </cell>
          <cell r="D1834" t="str">
            <v>215</v>
          </cell>
          <cell r="E1834" t="str">
            <v>周南市</v>
          </cell>
          <cell r="F1834" t="str">
            <v>01</v>
          </cell>
          <cell r="G1834" t="str">
            <v>公共 単独</v>
          </cell>
          <cell r="H1834" t="str">
            <v>公共下水道</v>
          </cell>
          <cell r="I1834" t="str">
            <v>単独</v>
          </cell>
          <cell r="J1834" t="str">
            <v>001</v>
          </cell>
          <cell r="K1834" t="str">
            <v>徳山中央浄化センター</v>
          </cell>
          <cell r="M1834" t="str">
            <v>1</v>
          </cell>
          <cell r="N1834" t="str">
            <v>1</v>
          </cell>
          <cell r="Q1834">
            <v>24381</v>
          </cell>
          <cell r="R1834" t="str">
            <v>昭和</v>
          </cell>
          <cell r="S1834">
            <v>41</v>
          </cell>
          <cell r="T1834">
            <v>10</v>
          </cell>
          <cell r="AB1834">
            <v>25300</v>
          </cell>
          <cell r="AC1834" t="str">
            <v>徳山湾海域（２）</v>
          </cell>
          <cell r="AD1834" t="str">
            <v>Ｃ</v>
          </cell>
          <cell r="AE1834" t="str">
            <v>イ</v>
          </cell>
          <cell r="AF1834">
            <v>15</v>
          </cell>
          <cell r="AH1834">
            <v>3</v>
          </cell>
          <cell r="AI1834" t="str">
            <v>徳山湾</v>
          </cell>
          <cell r="AL1834" t="str">
            <v>川上ダム</v>
          </cell>
          <cell r="AM1834">
            <v>7</v>
          </cell>
          <cell r="AO1834" t="str">
            <v>周南市</v>
          </cell>
          <cell r="AQ1834" t="str">
            <v/>
          </cell>
          <cell r="AR1834" t="str">
            <v>標準活性汚泥法</v>
          </cell>
          <cell r="AS1834" t="str">
            <v>3521501001</v>
          </cell>
          <cell r="AT1834" t="str">
            <v/>
          </cell>
          <cell r="AU1834" t="str">
            <v>10</v>
          </cell>
          <cell r="AV1834" t="str">
            <v>10</v>
          </cell>
          <cell r="AW1834">
            <v>0</v>
          </cell>
          <cell r="AX1834">
            <v>0</v>
          </cell>
          <cell r="AY1834">
            <v>0</v>
          </cell>
          <cell r="AZ1834">
            <v>0</v>
          </cell>
          <cell r="BA1834">
            <v>0</v>
          </cell>
          <cell r="BD1834" t="str">
            <v/>
          </cell>
          <cell r="BE1834">
            <v>1</v>
          </cell>
          <cell r="BG1834" t="str">
            <v>1100</v>
          </cell>
        </row>
        <row r="1835">
          <cell r="B1835" t="str">
            <v>G352150106100200</v>
          </cell>
          <cell r="C1835" t="str">
            <v>35.山口県</v>
          </cell>
          <cell r="D1835" t="str">
            <v>215</v>
          </cell>
          <cell r="E1835" t="str">
            <v>周南市</v>
          </cell>
          <cell r="F1835" t="str">
            <v>01</v>
          </cell>
          <cell r="G1835" t="str">
            <v>公共 単独</v>
          </cell>
          <cell r="H1835" t="str">
            <v>公共下水道</v>
          </cell>
          <cell r="I1835" t="str">
            <v>単独</v>
          </cell>
          <cell r="J1835" t="str">
            <v>002</v>
          </cell>
          <cell r="K1835" t="str">
            <v>新南陽浄化センター</v>
          </cell>
          <cell r="M1835" t="str">
            <v>1</v>
          </cell>
          <cell r="N1835" t="str">
            <v>1</v>
          </cell>
          <cell r="Q1835">
            <v>29190</v>
          </cell>
          <cell r="R1835" t="str">
            <v>昭和</v>
          </cell>
          <cell r="S1835">
            <v>54</v>
          </cell>
          <cell r="T1835">
            <v>12</v>
          </cell>
          <cell r="AB1835">
            <v>57000</v>
          </cell>
          <cell r="AC1835" t="str">
            <v>徳山湾海域</v>
          </cell>
          <cell r="AD1835" t="str">
            <v>Ｃ</v>
          </cell>
          <cell r="AE1835" t="str">
            <v>イ</v>
          </cell>
          <cell r="AF1835">
            <v>15</v>
          </cell>
          <cell r="AG1835">
            <v>20</v>
          </cell>
          <cell r="AH1835">
            <v>3</v>
          </cell>
          <cell r="AI1835" t="str">
            <v>徳山湾</v>
          </cell>
          <cell r="AL1835" t="str">
            <v>川上ダム</v>
          </cell>
          <cell r="AM1835">
            <v>5.5</v>
          </cell>
          <cell r="AO1835" t="str">
            <v>周南市</v>
          </cell>
          <cell r="AQ1835" t="str">
            <v/>
          </cell>
          <cell r="AR1835" t="str">
            <v>嫌気好気活性汚泥法</v>
          </cell>
          <cell r="AS1835" t="str">
            <v>3521501002</v>
          </cell>
          <cell r="AT1835" t="str">
            <v/>
          </cell>
          <cell r="AU1835" t="str">
            <v>10</v>
          </cell>
          <cell r="AV1835" t="str">
            <v>10</v>
          </cell>
          <cell r="AW1835">
            <v>0</v>
          </cell>
          <cell r="AX1835">
            <v>0</v>
          </cell>
          <cell r="AY1835">
            <v>0</v>
          </cell>
          <cell r="AZ1835">
            <v>0</v>
          </cell>
          <cell r="BA1835">
            <v>0</v>
          </cell>
          <cell r="BD1835" t="str">
            <v/>
          </cell>
          <cell r="BE1835">
            <v>1</v>
          </cell>
          <cell r="BG1835" t="str">
            <v>1100</v>
          </cell>
        </row>
        <row r="1836">
          <cell r="B1836" t="str">
            <v>G352150106100300</v>
          </cell>
          <cell r="C1836" t="str">
            <v>35.山口県</v>
          </cell>
          <cell r="D1836" t="str">
            <v>215</v>
          </cell>
          <cell r="E1836" t="str">
            <v>周南市</v>
          </cell>
          <cell r="F1836" t="str">
            <v>01</v>
          </cell>
          <cell r="G1836" t="str">
            <v>公共 単独</v>
          </cell>
          <cell r="H1836" t="str">
            <v>公共下水道</v>
          </cell>
          <cell r="I1836" t="str">
            <v>単独</v>
          </cell>
          <cell r="J1836" t="str">
            <v>003</v>
          </cell>
          <cell r="K1836" t="str">
            <v>徳山東部浄化センター</v>
          </cell>
          <cell r="M1836" t="str">
            <v>1</v>
          </cell>
          <cell r="N1836" t="str">
            <v>1</v>
          </cell>
          <cell r="Q1836">
            <v>32964</v>
          </cell>
          <cell r="R1836" t="str">
            <v>平成</v>
          </cell>
          <cell r="S1836">
            <v>2</v>
          </cell>
          <cell r="T1836">
            <v>4</v>
          </cell>
          <cell r="AB1836">
            <v>141000</v>
          </cell>
          <cell r="AC1836" t="str">
            <v>徳山湾海域</v>
          </cell>
          <cell r="AD1836" t="str">
            <v>Ｃ</v>
          </cell>
          <cell r="AE1836" t="str">
            <v>イ</v>
          </cell>
          <cell r="AF1836">
            <v>15</v>
          </cell>
          <cell r="AI1836" t="str">
            <v>徳山湾</v>
          </cell>
          <cell r="AL1836" t="str">
            <v>栄谷取水場</v>
          </cell>
          <cell r="AM1836">
            <v>5.5</v>
          </cell>
          <cell r="AO1836" t="str">
            <v>周南市</v>
          </cell>
          <cell r="AQ1836" t="str">
            <v/>
          </cell>
          <cell r="AR1836" t="str">
            <v>標準活性汚泥法</v>
          </cell>
          <cell r="AS1836" t="str">
            <v>3521501003</v>
          </cell>
          <cell r="AT1836" t="str">
            <v/>
          </cell>
          <cell r="AU1836" t="str">
            <v>10</v>
          </cell>
          <cell r="AV1836" t="str">
            <v>10</v>
          </cell>
          <cell r="AW1836">
            <v>0</v>
          </cell>
          <cell r="AX1836">
            <v>0</v>
          </cell>
          <cell r="AY1836">
            <v>0</v>
          </cell>
          <cell r="AZ1836">
            <v>0</v>
          </cell>
          <cell r="BA1836">
            <v>0</v>
          </cell>
          <cell r="BD1836" t="str">
            <v/>
          </cell>
          <cell r="BE1836">
            <v>1</v>
          </cell>
          <cell r="BG1836" t="str">
            <v>1100</v>
          </cell>
        </row>
        <row r="1837">
          <cell r="B1837" t="str">
            <v>G352150206100400</v>
          </cell>
          <cell r="C1837" t="str">
            <v>35.山口県</v>
          </cell>
          <cell r="D1837" t="str">
            <v>215</v>
          </cell>
          <cell r="E1837" t="str">
            <v>周南市</v>
          </cell>
          <cell r="F1837" t="str">
            <v>02</v>
          </cell>
          <cell r="G1837" t="str">
            <v>特環 単独</v>
          </cell>
          <cell r="H1837" t="str">
            <v>特定環境保全公共下水道</v>
          </cell>
          <cell r="I1837" t="str">
            <v>単独</v>
          </cell>
          <cell r="J1837" t="str">
            <v>004</v>
          </cell>
          <cell r="K1837" t="str">
            <v>新南陽北部浄化センター</v>
          </cell>
          <cell r="M1837" t="str">
            <v>1</v>
          </cell>
          <cell r="N1837" t="str">
            <v>1</v>
          </cell>
          <cell r="Q1837">
            <v>35309</v>
          </cell>
          <cell r="R1837" t="str">
            <v>平成</v>
          </cell>
          <cell r="S1837">
            <v>8</v>
          </cell>
          <cell r="T1837">
            <v>9</v>
          </cell>
          <cell r="AB1837">
            <v>3140</v>
          </cell>
          <cell r="AC1837" t="str">
            <v>佐波川水系</v>
          </cell>
          <cell r="AD1837" t="str">
            <v>Ａ</v>
          </cell>
          <cell r="AE1837" t="str">
            <v>イ</v>
          </cell>
          <cell r="AF1837">
            <v>15</v>
          </cell>
          <cell r="AG1837">
            <v>20</v>
          </cell>
          <cell r="AH1837">
            <v>3</v>
          </cell>
          <cell r="AI1837" t="str">
            <v>島地川</v>
          </cell>
          <cell r="AK1837" t="str">
            <v>佐波川</v>
          </cell>
          <cell r="AL1837" t="str">
            <v>米光取水場</v>
          </cell>
          <cell r="AM1837">
            <v>0.4</v>
          </cell>
          <cell r="AO1837" t="str">
            <v>周南市</v>
          </cell>
          <cell r="AQ1837" t="str">
            <v/>
          </cell>
          <cell r="AR1837" t="str">
            <v>オキシディションディッチ法</v>
          </cell>
          <cell r="AS1837" t="str">
            <v>3521502004</v>
          </cell>
          <cell r="AT1837" t="str">
            <v/>
          </cell>
          <cell r="AU1837" t="str">
            <v>10</v>
          </cell>
          <cell r="AV1837" t="str">
            <v>10</v>
          </cell>
          <cell r="AW1837">
            <v>0</v>
          </cell>
          <cell r="AX1837">
            <v>0</v>
          </cell>
          <cell r="AY1837">
            <v>0</v>
          </cell>
          <cell r="AZ1837">
            <v>0</v>
          </cell>
          <cell r="BA1837">
            <v>0</v>
          </cell>
          <cell r="BD1837" t="str">
            <v/>
          </cell>
          <cell r="BE1837">
            <v>1</v>
          </cell>
          <cell r="BG1837" t="str">
            <v>1100</v>
          </cell>
        </row>
        <row r="1838">
          <cell r="B1838" t="str">
            <v>G352150206100500</v>
          </cell>
          <cell r="C1838" t="str">
            <v>35.山口県</v>
          </cell>
          <cell r="D1838" t="str">
            <v>215</v>
          </cell>
          <cell r="E1838" t="str">
            <v>周南市</v>
          </cell>
          <cell r="F1838" t="str">
            <v>02</v>
          </cell>
          <cell r="G1838" t="str">
            <v>特環 単独</v>
          </cell>
          <cell r="H1838" t="str">
            <v>特定環境保全公共下水道</v>
          </cell>
          <cell r="I1838" t="str">
            <v>単独</v>
          </cell>
          <cell r="J1838" t="str">
            <v>005</v>
          </cell>
          <cell r="K1838" t="str">
            <v>鹿野浄化センター</v>
          </cell>
          <cell r="M1838" t="str">
            <v>1</v>
          </cell>
          <cell r="N1838" t="str">
            <v>1</v>
          </cell>
          <cell r="Q1838">
            <v>36434</v>
          </cell>
          <cell r="R1838" t="str">
            <v>平成</v>
          </cell>
          <cell r="S1838">
            <v>11</v>
          </cell>
          <cell r="T1838">
            <v>10</v>
          </cell>
          <cell r="AB1838">
            <v>8200</v>
          </cell>
          <cell r="AC1838" t="str">
            <v>錦川水系錦川</v>
          </cell>
          <cell r="AD1838" t="str">
            <v>Ａ</v>
          </cell>
          <cell r="AE1838" t="str">
            <v>イ</v>
          </cell>
          <cell r="AJ1838" t="str">
            <v>錦川</v>
          </cell>
          <cell r="AL1838" t="str">
            <v>周南市大字大向二俣839地内</v>
          </cell>
          <cell r="AN1838">
            <v>6.5</v>
          </cell>
          <cell r="AO1838" t="str">
            <v>周南市</v>
          </cell>
          <cell r="AQ1838" t="str">
            <v/>
          </cell>
          <cell r="AR1838" t="str">
            <v>オキシディションディッチ法</v>
          </cell>
          <cell r="AS1838" t="str">
            <v>3521502005</v>
          </cell>
          <cell r="AT1838" t="str">
            <v/>
          </cell>
          <cell r="AU1838" t="str">
            <v>10</v>
          </cell>
          <cell r="AV1838" t="str">
            <v>10</v>
          </cell>
          <cell r="AW1838">
            <v>0</v>
          </cell>
          <cell r="AX1838">
            <v>0</v>
          </cell>
          <cell r="AY1838">
            <v>0</v>
          </cell>
          <cell r="AZ1838">
            <v>0</v>
          </cell>
          <cell r="BA1838">
            <v>0</v>
          </cell>
          <cell r="BD1838" t="str">
            <v/>
          </cell>
          <cell r="BE1838">
            <v>1</v>
          </cell>
          <cell r="BG1838" t="str">
            <v>1100</v>
          </cell>
        </row>
        <row r="1839">
          <cell r="B1839" t="str">
            <v>G352160106100100</v>
          </cell>
          <cell r="C1839" t="str">
            <v>35.山口県</v>
          </cell>
          <cell r="D1839" t="str">
            <v>216</v>
          </cell>
          <cell r="E1839" t="str">
            <v>山陽小野田市</v>
          </cell>
          <cell r="F1839" t="str">
            <v>01</v>
          </cell>
          <cell r="G1839" t="str">
            <v>公共 単独</v>
          </cell>
          <cell r="H1839" t="str">
            <v>公共下水道</v>
          </cell>
          <cell r="I1839" t="str">
            <v>単独</v>
          </cell>
          <cell r="J1839" t="str">
            <v>001</v>
          </cell>
          <cell r="K1839" t="str">
            <v>小野田水処理センター</v>
          </cell>
          <cell r="M1839" t="str">
            <v>1</v>
          </cell>
          <cell r="N1839" t="str">
            <v>1</v>
          </cell>
          <cell r="Q1839">
            <v>29707</v>
          </cell>
          <cell r="R1839" t="str">
            <v>昭和</v>
          </cell>
          <cell r="S1839">
            <v>56</v>
          </cell>
          <cell r="T1839">
            <v>5</v>
          </cell>
          <cell r="AB1839">
            <v>24000</v>
          </cell>
          <cell r="AC1839" t="str">
            <v>宇部小野田水域(甲)</v>
          </cell>
          <cell r="AD1839" t="str">
            <v>Ｂ-Ⅲ</v>
          </cell>
          <cell r="AE1839" t="str">
            <v>イ</v>
          </cell>
          <cell r="AF1839">
            <v>15</v>
          </cell>
          <cell r="AI1839" t="str">
            <v>宇部小野田水域(甲)</v>
          </cell>
          <cell r="AQ1839" t="str">
            <v/>
          </cell>
          <cell r="AR1839" t="str">
            <v>標準活性汚泥法</v>
          </cell>
          <cell r="AS1839" t="str">
            <v>3521601001</v>
          </cell>
          <cell r="AT1839" t="str">
            <v/>
          </cell>
          <cell r="AU1839" t="str">
            <v>10</v>
          </cell>
          <cell r="AV1839" t="str">
            <v>10</v>
          </cell>
          <cell r="AW1839">
            <v>0</v>
          </cell>
          <cell r="AX1839">
            <v>0</v>
          </cell>
          <cell r="AY1839">
            <v>0</v>
          </cell>
          <cell r="AZ1839">
            <v>0</v>
          </cell>
          <cell r="BA1839">
            <v>0</v>
          </cell>
          <cell r="BD1839" t="str">
            <v/>
          </cell>
          <cell r="BE1839">
            <v>1</v>
          </cell>
          <cell r="BG1839" t="str">
            <v>1100</v>
          </cell>
        </row>
        <row r="1840">
          <cell r="B1840" t="str">
            <v>G352160106100200</v>
          </cell>
          <cell r="C1840" t="str">
            <v>35.山口県</v>
          </cell>
          <cell r="D1840" t="str">
            <v>216</v>
          </cell>
          <cell r="E1840" t="str">
            <v>山陽小野田市</v>
          </cell>
          <cell r="F1840" t="str">
            <v>01</v>
          </cell>
          <cell r="G1840" t="str">
            <v>公共 単独</v>
          </cell>
          <cell r="H1840" t="str">
            <v>公共下水道</v>
          </cell>
          <cell r="I1840" t="str">
            <v>単独</v>
          </cell>
          <cell r="J1840" t="str">
            <v>002</v>
          </cell>
          <cell r="K1840" t="str">
            <v>山陽水処理センター</v>
          </cell>
          <cell r="M1840" t="str">
            <v>1</v>
          </cell>
          <cell r="N1840" t="str">
            <v>1</v>
          </cell>
          <cell r="Q1840">
            <v>32599</v>
          </cell>
          <cell r="R1840" t="str">
            <v>平成</v>
          </cell>
          <cell r="S1840">
            <v>1</v>
          </cell>
          <cell r="T1840">
            <v>4</v>
          </cell>
          <cell r="AB1840">
            <v>23800</v>
          </cell>
          <cell r="AC1840" t="str">
            <v>渡場大橋</v>
          </cell>
          <cell r="AD1840" t="str">
            <v>Ｂ</v>
          </cell>
          <cell r="AE1840" t="str">
            <v>イ</v>
          </cell>
          <cell r="AF1840">
            <v>15</v>
          </cell>
          <cell r="AG1840">
            <v>14</v>
          </cell>
          <cell r="AJ1840" t="str">
            <v>厚狭川</v>
          </cell>
          <cell r="AL1840" t="str">
            <v>鴨庄浄水場取水口</v>
          </cell>
          <cell r="AM1840">
            <v>4.8</v>
          </cell>
          <cell r="AO1840" t="str">
            <v>山陽小野田市</v>
          </cell>
          <cell r="AQ1840" t="str">
            <v/>
          </cell>
          <cell r="AR1840" t="str">
            <v>ステップ流入式多段硝化脱窒法</v>
          </cell>
          <cell r="AS1840" t="str">
            <v>3521601002</v>
          </cell>
          <cell r="AT1840" t="str">
            <v/>
          </cell>
          <cell r="AU1840" t="str">
            <v>10</v>
          </cell>
          <cell r="AV1840" t="str">
            <v>10</v>
          </cell>
          <cell r="AW1840">
            <v>0</v>
          </cell>
          <cell r="AX1840">
            <v>0</v>
          </cell>
          <cell r="AY1840">
            <v>0</v>
          </cell>
          <cell r="AZ1840">
            <v>0</v>
          </cell>
          <cell r="BA1840">
            <v>0</v>
          </cell>
          <cell r="BD1840" t="str">
            <v/>
          </cell>
          <cell r="BE1840">
            <v>1</v>
          </cell>
          <cell r="BG1840" t="str">
            <v>1100</v>
          </cell>
        </row>
        <row r="1841">
          <cell r="B1841" t="str">
            <v>G353050206100100</v>
          </cell>
          <cell r="C1841" t="str">
            <v>35.山口県</v>
          </cell>
          <cell r="D1841" t="str">
            <v>305</v>
          </cell>
          <cell r="E1841" t="str">
            <v>周防大島町</v>
          </cell>
          <cell r="F1841" t="str">
            <v>02</v>
          </cell>
          <cell r="G1841" t="str">
            <v>特環 単独</v>
          </cell>
          <cell r="H1841" t="str">
            <v>特定環境保全公共下水道</v>
          </cell>
          <cell r="I1841" t="str">
            <v>単独</v>
          </cell>
          <cell r="J1841" t="str">
            <v>001</v>
          </cell>
          <cell r="K1841" t="str">
            <v>東和片添浄化センター</v>
          </cell>
          <cell r="M1841" t="str">
            <v>1</v>
          </cell>
          <cell r="N1841" t="str">
            <v>1</v>
          </cell>
          <cell r="Q1841">
            <v>34121</v>
          </cell>
          <cell r="R1841" t="str">
            <v>平成</v>
          </cell>
          <cell r="S1841">
            <v>5</v>
          </cell>
          <cell r="T1841">
            <v>6</v>
          </cell>
          <cell r="AB1841">
            <v>4100</v>
          </cell>
          <cell r="AC1841" t="str">
            <v>柳井・大島</v>
          </cell>
          <cell r="AD1841" t="str">
            <v>Ａ</v>
          </cell>
          <cell r="AE1841" t="str">
            <v>イ</v>
          </cell>
          <cell r="AF1841">
            <v>15</v>
          </cell>
          <cell r="AI1841" t="str">
            <v>伊予灘</v>
          </cell>
          <cell r="AQ1841" t="str">
            <v/>
          </cell>
          <cell r="AR1841" t="str">
            <v>オキシディションディッチ法</v>
          </cell>
          <cell r="AS1841" t="str">
            <v>3530502001</v>
          </cell>
          <cell r="AT1841" t="str">
            <v/>
          </cell>
          <cell r="AU1841" t="str">
            <v>10</v>
          </cell>
          <cell r="AV1841" t="str">
            <v>10</v>
          </cell>
          <cell r="AW1841">
            <v>0</v>
          </cell>
          <cell r="AX1841">
            <v>0</v>
          </cell>
          <cell r="AY1841">
            <v>0</v>
          </cell>
          <cell r="AZ1841">
            <v>0</v>
          </cell>
          <cell r="BA1841">
            <v>0</v>
          </cell>
          <cell r="BD1841" t="str">
            <v/>
          </cell>
          <cell r="BE1841">
            <v>1</v>
          </cell>
          <cell r="BG1841" t="str">
            <v>1100</v>
          </cell>
        </row>
        <row r="1842">
          <cell r="B1842" t="str">
            <v>G353050206100200</v>
          </cell>
          <cell r="C1842" t="str">
            <v>35.山口県</v>
          </cell>
          <cell r="D1842" t="str">
            <v>305</v>
          </cell>
          <cell r="E1842" t="str">
            <v>周防大島町</v>
          </cell>
          <cell r="F1842" t="str">
            <v>02</v>
          </cell>
          <cell r="G1842" t="str">
            <v>特環 単独</v>
          </cell>
          <cell r="H1842" t="str">
            <v>特定環境保全公共下水道</v>
          </cell>
          <cell r="I1842" t="str">
            <v>単独</v>
          </cell>
          <cell r="J1842" t="str">
            <v>002</v>
          </cell>
          <cell r="K1842" t="str">
            <v>安下庄浄化センター</v>
          </cell>
          <cell r="M1842" t="str">
            <v>1</v>
          </cell>
          <cell r="N1842" t="str">
            <v>1</v>
          </cell>
          <cell r="Q1842">
            <v>37377</v>
          </cell>
          <cell r="R1842" t="str">
            <v>平成</v>
          </cell>
          <cell r="S1842">
            <v>14</v>
          </cell>
          <cell r="T1842">
            <v>5</v>
          </cell>
          <cell r="AB1842">
            <v>4800</v>
          </cell>
          <cell r="AC1842" t="str">
            <v>柳井・大島</v>
          </cell>
          <cell r="AD1842" t="str">
            <v>Ａ</v>
          </cell>
          <cell r="AE1842" t="str">
            <v>イ</v>
          </cell>
          <cell r="AF1842">
            <v>15</v>
          </cell>
          <cell r="AI1842" t="str">
            <v>伊予灘</v>
          </cell>
          <cell r="AQ1842" t="str">
            <v/>
          </cell>
          <cell r="AR1842" t="str">
            <v>その他処理方法</v>
          </cell>
          <cell r="AS1842" t="str">
            <v>3530502002</v>
          </cell>
          <cell r="AT1842" t="str">
            <v/>
          </cell>
          <cell r="AU1842" t="str">
            <v>10</v>
          </cell>
          <cell r="AV1842" t="str">
            <v>10</v>
          </cell>
          <cell r="AW1842">
            <v>0</v>
          </cell>
          <cell r="AX1842">
            <v>0</v>
          </cell>
          <cell r="AY1842">
            <v>0</v>
          </cell>
          <cell r="AZ1842">
            <v>0</v>
          </cell>
          <cell r="BA1842">
            <v>0</v>
          </cell>
          <cell r="BD1842" t="str">
            <v/>
          </cell>
          <cell r="BE1842">
            <v>1</v>
          </cell>
          <cell r="BG1842" t="str">
            <v>1100</v>
          </cell>
        </row>
        <row r="1843">
          <cell r="B1843" t="str">
            <v>G358010106100100</v>
          </cell>
          <cell r="C1843" t="str">
            <v>35.山口県</v>
          </cell>
          <cell r="D1843" t="str">
            <v>801</v>
          </cell>
          <cell r="E1843" t="str">
            <v>宇部・阿知須公共下水道組合</v>
          </cell>
          <cell r="F1843" t="str">
            <v>01</v>
          </cell>
          <cell r="G1843" t="str">
            <v>公共 単独</v>
          </cell>
          <cell r="H1843" t="str">
            <v>公共下水道</v>
          </cell>
          <cell r="I1843" t="str">
            <v>単独</v>
          </cell>
          <cell r="J1843" t="str">
            <v>001</v>
          </cell>
          <cell r="K1843" t="str">
            <v>阿知須浄化センター</v>
          </cell>
          <cell r="M1843" t="str">
            <v>1</v>
          </cell>
          <cell r="N1843" t="str">
            <v>1</v>
          </cell>
          <cell r="Q1843">
            <v>34759</v>
          </cell>
          <cell r="R1843" t="str">
            <v>平成</v>
          </cell>
          <cell r="S1843">
            <v>7</v>
          </cell>
          <cell r="T1843">
            <v>3</v>
          </cell>
          <cell r="AB1843">
            <v>40000</v>
          </cell>
          <cell r="AC1843" t="str">
            <v>山口・秋穂水域</v>
          </cell>
          <cell r="AD1843" t="str">
            <v>Ａ</v>
          </cell>
          <cell r="AE1843" t="str">
            <v>イ</v>
          </cell>
          <cell r="AF1843">
            <v>15</v>
          </cell>
          <cell r="AG1843">
            <v>14</v>
          </cell>
          <cell r="AH1843">
            <v>3</v>
          </cell>
          <cell r="AJ1843" t="str">
            <v>井関川</v>
          </cell>
          <cell r="AQ1843" t="str">
            <v/>
          </cell>
          <cell r="AR1843" t="str">
            <v>標準活性汚泥法</v>
          </cell>
          <cell r="AS1843" t="str">
            <v>3580101001</v>
          </cell>
          <cell r="AT1843" t="str">
            <v/>
          </cell>
          <cell r="AU1843" t="str">
            <v>10</v>
          </cell>
          <cell r="AV1843" t="str">
            <v>10</v>
          </cell>
          <cell r="AW1843">
            <v>0</v>
          </cell>
          <cell r="AX1843">
            <v>0</v>
          </cell>
          <cell r="AY1843">
            <v>0</v>
          </cell>
          <cell r="AZ1843">
            <v>0</v>
          </cell>
          <cell r="BA1843">
            <v>0</v>
          </cell>
          <cell r="BD1843" t="str">
            <v/>
          </cell>
          <cell r="BE1843">
            <v>1</v>
          </cell>
          <cell r="BG1843" t="str">
            <v>1100</v>
          </cell>
        </row>
        <row r="1844">
          <cell r="B1844" t="str">
            <v>G360018106100100</v>
          </cell>
          <cell r="C1844" t="str">
            <v>36.徳島県</v>
          </cell>
          <cell r="D1844" t="str">
            <v>001</v>
          </cell>
          <cell r="E1844" t="str">
            <v>旧吉野川流域</v>
          </cell>
          <cell r="F1844" t="str">
            <v>81</v>
          </cell>
          <cell r="G1844" t="str">
            <v>流域</v>
          </cell>
          <cell r="H1844" t="str">
            <v>流域下水道</v>
          </cell>
          <cell r="I1844" t="str">
            <v/>
          </cell>
          <cell r="J1844" t="str">
            <v>001</v>
          </cell>
          <cell r="K1844" t="str">
            <v>旧吉野川浄化センター</v>
          </cell>
          <cell r="M1844" t="str">
            <v>1</v>
          </cell>
          <cell r="N1844" t="str">
            <v>1</v>
          </cell>
          <cell r="Q1844">
            <v>39904</v>
          </cell>
          <cell r="R1844" t="str">
            <v>平成</v>
          </cell>
          <cell r="S1844">
            <v>21</v>
          </cell>
          <cell r="T1844">
            <v>4</v>
          </cell>
          <cell r="AB1844">
            <v>143106</v>
          </cell>
          <cell r="AC1844" t="str">
            <v>紀伊水道</v>
          </cell>
          <cell r="AD1844" t="str">
            <v>Ａ</v>
          </cell>
          <cell r="AE1844" t="str">
            <v>イ</v>
          </cell>
          <cell r="AF1844">
            <v>15</v>
          </cell>
          <cell r="AG1844">
            <v>20</v>
          </cell>
          <cell r="AH1844">
            <v>1.9</v>
          </cell>
          <cell r="AI1844" t="str">
            <v>紀伊水道</v>
          </cell>
          <cell r="AQ1844" t="str">
            <v/>
          </cell>
          <cell r="AR1844" t="str">
            <v>嫌気無酸素好気法</v>
          </cell>
          <cell r="AS1844" t="str">
            <v>3600181001</v>
          </cell>
          <cell r="AT1844" t="str">
            <v/>
          </cell>
          <cell r="AU1844" t="str">
            <v>10</v>
          </cell>
          <cell r="AV1844" t="str">
            <v>10</v>
          </cell>
          <cell r="AW1844">
            <v>0</v>
          </cell>
          <cell r="AX1844">
            <v>0</v>
          </cell>
          <cell r="AY1844">
            <v>0</v>
          </cell>
          <cell r="AZ1844">
            <v>0</v>
          </cell>
          <cell r="BA1844">
            <v>0</v>
          </cell>
          <cell r="BD1844" t="str">
            <v/>
          </cell>
          <cell r="BE1844">
            <v>1</v>
          </cell>
          <cell r="BG1844" t="str">
            <v>1100</v>
          </cell>
        </row>
        <row r="1845">
          <cell r="B1845" t="str">
            <v>G362010106100100</v>
          </cell>
          <cell r="C1845" t="str">
            <v>36.徳島県</v>
          </cell>
          <cell r="D1845" t="str">
            <v>201</v>
          </cell>
          <cell r="E1845" t="str">
            <v>徳島市</v>
          </cell>
          <cell r="F1845" t="str">
            <v>01</v>
          </cell>
          <cell r="G1845" t="str">
            <v>公共 単独</v>
          </cell>
          <cell r="H1845" t="str">
            <v>公共下水道</v>
          </cell>
          <cell r="I1845" t="str">
            <v>単独</v>
          </cell>
          <cell r="J1845" t="str">
            <v>001</v>
          </cell>
          <cell r="K1845" t="str">
            <v>中央浄化センター</v>
          </cell>
          <cell r="M1845" t="str">
            <v>1</v>
          </cell>
          <cell r="N1845" t="str">
            <v>1</v>
          </cell>
          <cell r="Q1845">
            <v>22737</v>
          </cell>
          <cell r="R1845" t="str">
            <v>昭和</v>
          </cell>
          <cell r="S1845">
            <v>37</v>
          </cell>
          <cell r="T1845">
            <v>4</v>
          </cell>
          <cell r="AB1845">
            <v>34760</v>
          </cell>
          <cell r="AC1845" t="str">
            <v>新町川下流域</v>
          </cell>
          <cell r="AD1845" t="str">
            <v>Ｂ</v>
          </cell>
          <cell r="AE1845" t="str">
            <v>イ</v>
          </cell>
          <cell r="AF1845">
            <v>15</v>
          </cell>
          <cell r="AI1845" t="str">
            <v>御座船入江川</v>
          </cell>
          <cell r="AQ1845" t="str">
            <v/>
          </cell>
          <cell r="AR1845" t="str">
            <v>回転生物接触法</v>
          </cell>
          <cell r="AS1845" t="str">
            <v>3620101001</v>
          </cell>
          <cell r="AT1845" t="str">
            <v/>
          </cell>
          <cell r="AU1845" t="str">
            <v>10</v>
          </cell>
          <cell r="AV1845" t="str">
            <v>10</v>
          </cell>
          <cell r="AW1845">
            <v>0</v>
          </cell>
          <cell r="AX1845">
            <v>0</v>
          </cell>
          <cell r="AY1845">
            <v>0</v>
          </cell>
          <cell r="AZ1845">
            <v>0</v>
          </cell>
          <cell r="BA1845">
            <v>0</v>
          </cell>
          <cell r="BD1845" t="str">
            <v/>
          </cell>
          <cell r="BE1845">
            <v>1</v>
          </cell>
          <cell r="BG1845" t="str">
            <v>1100</v>
          </cell>
        </row>
        <row r="1846">
          <cell r="B1846" t="str">
            <v>G362010106100200</v>
          </cell>
          <cell r="C1846" t="str">
            <v>36.徳島県</v>
          </cell>
          <cell r="D1846" t="str">
            <v>201</v>
          </cell>
          <cell r="E1846" t="str">
            <v>徳島市</v>
          </cell>
          <cell r="F1846" t="str">
            <v>01</v>
          </cell>
          <cell r="G1846" t="str">
            <v>公共 単独</v>
          </cell>
          <cell r="H1846" t="str">
            <v>公共下水道</v>
          </cell>
          <cell r="I1846" t="str">
            <v>単独</v>
          </cell>
          <cell r="J1846" t="str">
            <v>002</v>
          </cell>
          <cell r="K1846" t="str">
            <v>北部浄化センター</v>
          </cell>
          <cell r="M1846" t="str">
            <v>1</v>
          </cell>
          <cell r="N1846" t="str">
            <v>1</v>
          </cell>
          <cell r="P1846" t="str">
            <v>1</v>
          </cell>
          <cell r="Q1846">
            <v>36251</v>
          </cell>
          <cell r="R1846" t="str">
            <v>平成</v>
          </cell>
          <cell r="S1846">
            <v>11</v>
          </cell>
          <cell r="T1846">
            <v>4</v>
          </cell>
          <cell r="AB1846">
            <v>127900</v>
          </cell>
          <cell r="AC1846" t="str">
            <v>新町川下流</v>
          </cell>
          <cell r="AD1846" t="str">
            <v>Ｂ</v>
          </cell>
          <cell r="AE1846" t="str">
            <v>イ</v>
          </cell>
          <cell r="AF1846">
            <v>15</v>
          </cell>
          <cell r="AG1846">
            <v>20</v>
          </cell>
          <cell r="AH1846">
            <v>1.9</v>
          </cell>
          <cell r="AK1846" t="str">
            <v>新町川</v>
          </cell>
          <cell r="AL1846" t="str">
            <v>吉野川第十</v>
          </cell>
          <cell r="AM1846">
            <v>18</v>
          </cell>
          <cell r="AO1846" t="str">
            <v>徳島市</v>
          </cell>
          <cell r="AQ1846" t="str">
            <v/>
          </cell>
          <cell r="AR1846" t="str">
            <v>標準活性汚泥法</v>
          </cell>
          <cell r="AS1846" t="str">
            <v>3620101002</v>
          </cell>
          <cell r="AT1846" t="str">
            <v/>
          </cell>
          <cell r="AU1846" t="str">
            <v>10</v>
          </cell>
          <cell r="AV1846" t="str">
            <v>10</v>
          </cell>
          <cell r="AW1846">
            <v>1</v>
          </cell>
          <cell r="AX1846">
            <v>0</v>
          </cell>
          <cell r="AY1846">
            <v>0</v>
          </cell>
          <cell r="AZ1846">
            <v>0</v>
          </cell>
          <cell r="BA1846">
            <v>0</v>
          </cell>
          <cell r="BD1846" t="str">
            <v/>
          </cell>
          <cell r="BE1846">
            <v>1</v>
          </cell>
          <cell r="BG1846" t="str">
            <v>1101</v>
          </cell>
        </row>
        <row r="1847">
          <cell r="B1847" t="str">
            <v>G362010206100300</v>
          </cell>
          <cell r="C1847" t="str">
            <v>36.徳島県</v>
          </cell>
          <cell r="D1847" t="str">
            <v>201</v>
          </cell>
          <cell r="E1847" t="str">
            <v>徳島市</v>
          </cell>
          <cell r="F1847" t="str">
            <v>02</v>
          </cell>
          <cell r="G1847" t="str">
            <v>特環 単独</v>
          </cell>
          <cell r="H1847" t="str">
            <v>特定環境保全公共下水道</v>
          </cell>
          <cell r="I1847" t="str">
            <v>単独</v>
          </cell>
          <cell r="J1847" t="str">
            <v>003</v>
          </cell>
          <cell r="K1847" t="str">
            <v>丈六団地汚水処理場</v>
          </cell>
          <cell r="M1847" t="str">
            <v>1</v>
          </cell>
          <cell r="Q1847">
            <v>28581</v>
          </cell>
          <cell r="R1847" t="str">
            <v>昭和</v>
          </cell>
          <cell r="S1847">
            <v>53</v>
          </cell>
          <cell r="T1847">
            <v>4</v>
          </cell>
          <cell r="AB1847">
            <v>1868</v>
          </cell>
          <cell r="AC1847" t="str">
            <v>新町川下流域</v>
          </cell>
          <cell r="AD1847" t="str">
            <v>Ｂ</v>
          </cell>
          <cell r="AE1847" t="str">
            <v>イ</v>
          </cell>
          <cell r="AF1847">
            <v>15</v>
          </cell>
          <cell r="AI1847" t="str">
            <v>多々羅川</v>
          </cell>
          <cell r="AQ1847" t="str">
            <v/>
          </cell>
          <cell r="AR1847" t="str">
            <v>長時間エアレーション法</v>
          </cell>
          <cell r="AS1847" t="str">
            <v>3620102003</v>
          </cell>
          <cell r="AT1847" t="str">
            <v/>
          </cell>
          <cell r="AU1847" t="str">
            <v>00</v>
          </cell>
          <cell r="AV1847" t="str">
            <v>00</v>
          </cell>
          <cell r="AW1847">
            <v>0</v>
          </cell>
          <cell r="AX1847">
            <v>0</v>
          </cell>
          <cell r="AY1847">
            <v>0</v>
          </cell>
          <cell r="AZ1847">
            <v>0</v>
          </cell>
          <cell r="BA1847">
            <v>0</v>
          </cell>
          <cell r="BD1847" t="str">
            <v/>
          </cell>
          <cell r="BE1847">
            <v>1</v>
          </cell>
          <cell r="BG1847" t="str">
            <v>1000</v>
          </cell>
        </row>
        <row r="1848">
          <cell r="B1848" t="str">
            <v>G362040106100100</v>
          </cell>
          <cell r="C1848" t="str">
            <v>36.徳島県</v>
          </cell>
          <cell r="D1848" t="str">
            <v>204</v>
          </cell>
          <cell r="E1848" t="str">
            <v>阿南市</v>
          </cell>
          <cell r="F1848" t="str">
            <v>01</v>
          </cell>
          <cell r="G1848" t="str">
            <v>公共 単独</v>
          </cell>
          <cell r="H1848" t="str">
            <v>公共下水道</v>
          </cell>
          <cell r="I1848" t="str">
            <v>単独</v>
          </cell>
          <cell r="J1848" t="str">
            <v>001</v>
          </cell>
          <cell r="K1848" t="str">
            <v>富岡浄化センター</v>
          </cell>
          <cell r="M1848" t="str">
            <v>1</v>
          </cell>
          <cell r="N1848" t="str">
            <v>1</v>
          </cell>
          <cell r="Q1848">
            <v>40634</v>
          </cell>
          <cell r="R1848" t="str">
            <v>平成</v>
          </cell>
          <cell r="S1848">
            <v>23</v>
          </cell>
          <cell r="T1848">
            <v>4</v>
          </cell>
          <cell r="AB1848">
            <v>30000</v>
          </cell>
          <cell r="AC1848" t="str">
            <v>打樋川</v>
          </cell>
          <cell r="AD1848" t="str">
            <v>Ｃ</v>
          </cell>
          <cell r="AE1848" t="str">
            <v>イ</v>
          </cell>
          <cell r="AF1848">
            <v>15</v>
          </cell>
          <cell r="AG1848">
            <v>20</v>
          </cell>
          <cell r="AH1848">
            <v>2</v>
          </cell>
          <cell r="AJ1848" t="str">
            <v>打樋川</v>
          </cell>
          <cell r="AQ1848" t="str">
            <v/>
          </cell>
          <cell r="AR1848" t="str">
            <v>オキシディションディッチ法</v>
          </cell>
          <cell r="AS1848" t="str">
            <v>3620401001</v>
          </cell>
          <cell r="AT1848" t="str">
            <v/>
          </cell>
          <cell r="AU1848" t="str">
            <v>10</v>
          </cell>
          <cell r="AV1848" t="str">
            <v>10</v>
          </cell>
          <cell r="AW1848">
            <v>0</v>
          </cell>
          <cell r="AX1848">
            <v>0</v>
          </cell>
          <cell r="AY1848">
            <v>0</v>
          </cell>
          <cell r="AZ1848">
            <v>0</v>
          </cell>
          <cell r="BA1848">
            <v>0</v>
          </cell>
          <cell r="BD1848" t="str">
            <v/>
          </cell>
          <cell r="BE1848">
            <v>1</v>
          </cell>
          <cell r="BG1848" t="str">
            <v>1100</v>
          </cell>
        </row>
        <row r="1849">
          <cell r="B1849" t="str">
            <v>G362050106100100</v>
          </cell>
          <cell r="C1849" t="str">
            <v>36.徳島県</v>
          </cell>
          <cell r="D1849" t="str">
            <v>205</v>
          </cell>
          <cell r="E1849" t="str">
            <v>吉野川市</v>
          </cell>
          <cell r="F1849" t="str">
            <v>01</v>
          </cell>
          <cell r="G1849" t="str">
            <v>公共 単独</v>
          </cell>
          <cell r="H1849" t="str">
            <v>公共下水道</v>
          </cell>
          <cell r="I1849" t="str">
            <v>単独</v>
          </cell>
          <cell r="J1849" t="str">
            <v>001</v>
          </cell>
          <cell r="K1849" t="str">
            <v>鴨島中央浄化センター</v>
          </cell>
          <cell r="M1849" t="str">
            <v>1</v>
          </cell>
          <cell r="N1849" t="str">
            <v>1</v>
          </cell>
          <cell r="Q1849">
            <v>33878</v>
          </cell>
          <cell r="R1849" t="str">
            <v>平成</v>
          </cell>
          <cell r="S1849">
            <v>4</v>
          </cell>
          <cell r="T1849">
            <v>10</v>
          </cell>
          <cell r="AB1849">
            <v>37747</v>
          </cell>
          <cell r="AC1849" t="str">
            <v>吉野川</v>
          </cell>
          <cell r="AD1849" t="str">
            <v>Ａ</v>
          </cell>
          <cell r="AE1849" t="str">
            <v>イ</v>
          </cell>
          <cell r="AF1849">
            <v>15</v>
          </cell>
          <cell r="AK1849" t="str">
            <v>江川</v>
          </cell>
          <cell r="AQ1849" t="str">
            <v/>
          </cell>
          <cell r="AR1849" t="str">
            <v>オキシディションディッチ法</v>
          </cell>
          <cell r="AS1849" t="str">
            <v>3620501001</v>
          </cell>
          <cell r="AT1849" t="str">
            <v/>
          </cell>
          <cell r="AU1849" t="str">
            <v>10</v>
          </cell>
          <cell r="AV1849" t="str">
            <v>10</v>
          </cell>
          <cell r="AW1849">
            <v>0</v>
          </cell>
          <cell r="AX1849">
            <v>0</v>
          </cell>
          <cell r="AY1849">
            <v>0</v>
          </cell>
          <cell r="AZ1849">
            <v>0</v>
          </cell>
          <cell r="BA1849">
            <v>0</v>
          </cell>
          <cell r="BD1849" t="str">
            <v/>
          </cell>
          <cell r="BE1849">
            <v>1</v>
          </cell>
          <cell r="BG1849" t="str">
            <v>1100</v>
          </cell>
        </row>
        <row r="1850">
          <cell r="B1850" t="str">
            <v>G362050206100200</v>
          </cell>
          <cell r="C1850" t="str">
            <v>36.徳島県</v>
          </cell>
          <cell r="D1850" t="str">
            <v>205</v>
          </cell>
          <cell r="E1850" t="str">
            <v>吉野川市</v>
          </cell>
          <cell r="F1850" t="str">
            <v>02</v>
          </cell>
          <cell r="G1850" t="str">
            <v>特環 単独</v>
          </cell>
          <cell r="H1850" t="str">
            <v>特定環境保全公共下水道</v>
          </cell>
          <cell r="I1850" t="str">
            <v>単独</v>
          </cell>
          <cell r="J1850" t="str">
            <v>002</v>
          </cell>
          <cell r="K1850" t="str">
            <v>川田浄化センター</v>
          </cell>
          <cell r="M1850" t="str">
            <v>1</v>
          </cell>
          <cell r="N1850" t="str">
            <v>1</v>
          </cell>
          <cell r="Q1850">
            <v>38412</v>
          </cell>
          <cell r="R1850" t="str">
            <v>平成</v>
          </cell>
          <cell r="S1850">
            <v>17</v>
          </cell>
          <cell r="T1850">
            <v>3</v>
          </cell>
          <cell r="AB1850">
            <v>8100</v>
          </cell>
          <cell r="AC1850" t="str">
            <v>吉野川</v>
          </cell>
          <cell r="AD1850" t="str">
            <v>Ａ</v>
          </cell>
          <cell r="AE1850" t="str">
            <v>イ</v>
          </cell>
          <cell r="AF1850">
            <v>15</v>
          </cell>
          <cell r="AG1850">
            <v>15</v>
          </cell>
          <cell r="AH1850">
            <v>1</v>
          </cell>
          <cell r="AI1850" t="str">
            <v>翁喜台川</v>
          </cell>
          <cell r="AK1850" t="str">
            <v>ほたる川、吉野川</v>
          </cell>
          <cell r="AQ1850" t="str">
            <v/>
          </cell>
          <cell r="AR1850" t="str">
            <v>長時間エアレーション法</v>
          </cell>
          <cell r="AS1850" t="str">
            <v>3620502002</v>
          </cell>
          <cell r="AT1850" t="str">
            <v/>
          </cell>
          <cell r="AU1850" t="str">
            <v>10</v>
          </cell>
          <cell r="AV1850" t="str">
            <v>10</v>
          </cell>
          <cell r="AW1850">
            <v>0</v>
          </cell>
          <cell r="AX1850">
            <v>0</v>
          </cell>
          <cell r="AY1850">
            <v>0</v>
          </cell>
          <cell r="AZ1850">
            <v>0</v>
          </cell>
          <cell r="BA1850">
            <v>0</v>
          </cell>
          <cell r="BD1850" t="str">
            <v/>
          </cell>
          <cell r="BE1850">
            <v>1</v>
          </cell>
          <cell r="BG1850" t="str">
            <v>1100</v>
          </cell>
        </row>
        <row r="1851">
          <cell r="B1851" t="str">
            <v>G362050206100300</v>
          </cell>
          <cell r="C1851" t="str">
            <v>36.徳島県</v>
          </cell>
          <cell r="D1851" t="str">
            <v>205</v>
          </cell>
          <cell r="E1851" t="str">
            <v>吉野川市</v>
          </cell>
          <cell r="F1851" t="str">
            <v>02</v>
          </cell>
          <cell r="G1851" t="str">
            <v>特環 単独</v>
          </cell>
          <cell r="H1851" t="str">
            <v>特定環境保全公共下水道</v>
          </cell>
          <cell r="I1851" t="str">
            <v>単独</v>
          </cell>
          <cell r="J1851" t="str">
            <v>003</v>
          </cell>
          <cell r="K1851" t="str">
            <v>川島浄化センター</v>
          </cell>
          <cell r="M1851" t="str">
            <v>1</v>
          </cell>
          <cell r="N1851" t="str">
            <v>1</v>
          </cell>
          <cell r="Q1851">
            <v>39142</v>
          </cell>
          <cell r="R1851" t="str">
            <v>平成</v>
          </cell>
          <cell r="S1851">
            <v>19</v>
          </cell>
          <cell r="T1851">
            <v>3</v>
          </cell>
          <cell r="AB1851">
            <v>13000</v>
          </cell>
          <cell r="AC1851" t="str">
            <v>吉野川</v>
          </cell>
          <cell r="AD1851" t="str">
            <v>Ａ</v>
          </cell>
          <cell r="AE1851" t="str">
            <v>イ</v>
          </cell>
          <cell r="AF1851">
            <v>15</v>
          </cell>
          <cell r="AK1851" t="str">
            <v>桑村川</v>
          </cell>
          <cell r="AQ1851" t="str">
            <v/>
          </cell>
          <cell r="AR1851" t="str">
            <v>長時間エアレーション法</v>
          </cell>
          <cell r="AS1851" t="str">
            <v>3620502003</v>
          </cell>
          <cell r="AT1851" t="str">
            <v/>
          </cell>
          <cell r="AU1851" t="str">
            <v>10</v>
          </cell>
          <cell r="AV1851" t="str">
            <v>10</v>
          </cell>
          <cell r="AW1851">
            <v>0</v>
          </cell>
          <cell r="AX1851">
            <v>0</v>
          </cell>
          <cell r="AY1851">
            <v>0</v>
          </cell>
          <cell r="AZ1851">
            <v>0</v>
          </cell>
          <cell r="BA1851">
            <v>0</v>
          </cell>
          <cell r="BD1851" t="str">
            <v/>
          </cell>
          <cell r="BE1851">
            <v>1</v>
          </cell>
          <cell r="BG1851" t="str">
            <v>1100</v>
          </cell>
        </row>
        <row r="1852">
          <cell r="B1852" t="str">
            <v>G362070206100100</v>
          </cell>
          <cell r="C1852" t="str">
            <v>36.徳島県</v>
          </cell>
          <cell r="D1852" t="str">
            <v>207</v>
          </cell>
          <cell r="E1852" t="str">
            <v>美馬市</v>
          </cell>
          <cell r="F1852" t="str">
            <v>02</v>
          </cell>
          <cell r="G1852" t="str">
            <v>特環 単独</v>
          </cell>
          <cell r="H1852" t="str">
            <v>特定環境保全公共下水道</v>
          </cell>
          <cell r="I1852" t="str">
            <v>単独</v>
          </cell>
          <cell r="J1852" t="str">
            <v>001</v>
          </cell>
          <cell r="K1852" t="str">
            <v>穴吹浄化センター</v>
          </cell>
          <cell r="M1852" t="str">
            <v>1</v>
          </cell>
          <cell r="N1852" t="str">
            <v>1</v>
          </cell>
          <cell r="Q1852">
            <v>38047</v>
          </cell>
          <cell r="R1852" t="str">
            <v>平成</v>
          </cell>
          <cell r="S1852">
            <v>16</v>
          </cell>
          <cell r="T1852">
            <v>3</v>
          </cell>
          <cell r="AB1852">
            <v>15052</v>
          </cell>
          <cell r="AC1852" t="str">
            <v>吉野川下流</v>
          </cell>
          <cell r="AD1852" t="str">
            <v>Ａ</v>
          </cell>
          <cell r="AE1852" t="str">
            <v>イ</v>
          </cell>
          <cell r="AF1852">
            <v>15</v>
          </cell>
          <cell r="AG1852">
            <v>15</v>
          </cell>
          <cell r="AH1852">
            <v>1</v>
          </cell>
          <cell r="AK1852" t="str">
            <v>穴吹川</v>
          </cell>
          <cell r="AL1852" t="str">
            <v>阿波市上水道取水口</v>
          </cell>
          <cell r="AN1852">
            <v>7.5</v>
          </cell>
          <cell r="AO1852" t="str">
            <v>阿波市</v>
          </cell>
          <cell r="AQ1852" t="str">
            <v/>
          </cell>
          <cell r="AR1852" t="str">
            <v>オキシディションディッチ法</v>
          </cell>
          <cell r="AS1852" t="str">
            <v>3620702001</v>
          </cell>
          <cell r="AT1852" t="str">
            <v/>
          </cell>
          <cell r="AU1852" t="str">
            <v>10</v>
          </cell>
          <cell r="AV1852" t="str">
            <v>10</v>
          </cell>
          <cell r="AW1852">
            <v>0</v>
          </cell>
          <cell r="AX1852">
            <v>0</v>
          </cell>
          <cell r="AY1852">
            <v>0</v>
          </cell>
          <cell r="AZ1852">
            <v>0</v>
          </cell>
          <cell r="BA1852">
            <v>0</v>
          </cell>
          <cell r="BD1852" t="str">
            <v/>
          </cell>
          <cell r="BE1852">
            <v>1</v>
          </cell>
          <cell r="BG1852" t="str">
            <v>1100</v>
          </cell>
        </row>
        <row r="1853">
          <cell r="B1853" t="str">
            <v>G363870106100100</v>
          </cell>
          <cell r="C1853" t="str">
            <v>36.徳島県</v>
          </cell>
          <cell r="D1853" t="str">
            <v>387</v>
          </cell>
          <cell r="E1853" t="str">
            <v>美波町</v>
          </cell>
          <cell r="F1853" t="str">
            <v>01</v>
          </cell>
          <cell r="G1853" t="str">
            <v>公共 単独</v>
          </cell>
          <cell r="H1853" t="str">
            <v>公共下水道</v>
          </cell>
          <cell r="I1853" t="str">
            <v>単独</v>
          </cell>
          <cell r="J1853" t="str">
            <v>001</v>
          </cell>
          <cell r="K1853" t="str">
            <v>日和佐浄化センター</v>
          </cell>
          <cell r="M1853" t="str">
            <v>1</v>
          </cell>
          <cell r="Q1853">
            <v>38412</v>
          </cell>
          <cell r="R1853" t="str">
            <v>平成</v>
          </cell>
          <cell r="S1853">
            <v>17</v>
          </cell>
          <cell r="T1853">
            <v>3</v>
          </cell>
          <cell r="AB1853">
            <v>4600</v>
          </cell>
          <cell r="AC1853" t="str">
            <v>県南沿岸海域</v>
          </cell>
          <cell r="AD1853" t="str">
            <v>Ａ</v>
          </cell>
          <cell r="AE1853" t="str">
            <v>イ</v>
          </cell>
          <cell r="AF1853">
            <v>15</v>
          </cell>
          <cell r="AI1853" t="str">
            <v>日和佐港</v>
          </cell>
          <cell r="AL1853" t="str">
            <v>美波町上水道取水井</v>
          </cell>
          <cell r="AM1853">
            <v>3</v>
          </cell>
          <cell r="AO1853" t="str">
            <v>美波町</v>
          </cell>
          <cell r="AQ1853" t="str">
            <v/>
          </cell>
          <cell r="AR1853" t="str">
            <v>嫌気好気ろ床法</v>
          </cell>
          <cell r="AS1853" t="str">
            <v>3638701001</v>
          </cell>
          <cell r="AT1853">
            <v>1</v>
          </cell>
          <cell r="AU1853" t="str">
            <v>00</v>
          </cell>
          <cell r="AV1853" t="str">
            <v>00</v>
          </cell>
          <cell r="AW1853">
            <v>0</v>
          </cell>
          <cell r="AX1853">
            <v>0</v>
          </cell>
          <cell r="AY1853">
            <v>0</v>
          </cell>
          <cell r="AZ1853">
            <v>0</v>
          </cell>
          <cell r="BA1853">
            <v>0</v>
          </cell>
          <cell r="BD1853" t="str">
            <v/>
          </cell>
          <cell r="BE1853">
            <v>1</v>
          </cell>
          <cell r="BG1853" t="str">
            <v>1000</v>
          </cell>
        </row>
        <row r="1854">
          <cell r="B1854" t="str">
            <v>G363880206100100</v>
          </cell>
          <cell r="C1854" t="str">
            <v>36.徳島県</v>
          </cell>
          <cell r="D1854" t="str">
            <v>388</v>
          </cell>
          <cell r="E1854" t="str">
            <v>海陽町</v>
          </cell>
          <cell r="F1854" t="str">
            <v>02</v>
          </cell>
          <cell r="G1854" t="str">
            <v>特環 単独</v>
          </cell>
          <cell r="H1854" t="str">
            <v>特定環境保全公共下水道</v>
          </cell>
          <cell r="I1854" t="str">
            <v>単独</v>
          </cell>
          <cell r="J1854" t="str">
            <v>001</v>
          </cell>
          <cell r="K1854" t="str">
            <v>浅川浄化センター</v>
          </cell>
          <cell r="M1854" t="str">
            <v>1</v>
          </cell>
          <cell r="N1854" t="str">
            <v>1</v>
          </cell>
          <cell r="Q1854">
            <v>36982</v>
          </cell>
          <cell r="R1854" t="str">
            <v>平成</v>
          </cell>
          <cell r="S1854">
            <v>13</v>
          </cell>
          <cell r="T1854">
            <v>4</v>
          </cell>
          <cell r="AB1854">
            <v>3600</v>
          </cell>
          <cell r="AF1854">
            <v>15</v>
          </cell>
          <cell r="AJ1854" t="str">
            <v>伊勢田川</v>
          </cell>
          <cell r="AQ1854" t="str">
            <v/>
          </cell>
          <cell r="AR1854" t="str">
            <v>オキシディションディッチ法</v>
          </cell>
          <cell r="AS1854" t="str">
            <v>3638802001</v>
          </cell>
          <cell r="AT1854" t="str">
            <v/>
          </cell>
          <cell r="AU1854" t="str">
            <v>10</v>
          </cell>
          <cell r="AV1854" t="str">
            <v>10</v>
          </cell>
          <cell r="AW1854">
            <v>0</v>
          </cell>
          <cell r="AX1854">
            <v>0</v>
          </cell>
          <cell r="AY1854">
            <v>0</v>
          </cell>
          <cell r="AZ1854">
            <v>0</v>
          </cell>
          <cell r="BA1854">
            <v>0</v>
          </cell>
          <cell r="BD1854" t="str">
            <v/>
          </cell>
          <cell r="BE1854">
            <v>1</v>
          </cell>
          <cell r="BG1854" t="str">
            <v>1100</v>
          </cell>
        </row>
        <row r="1855">
          <cell r="B1855" t="str">
            <v>G363880206100200</v>
          </cell>
          <cell r="C1855" t="str">
            <v>36.徳島県</v>
          </cell>
          <cell r="D1855" t="str">
            <v>388</v>
          </cell>
          <cell r="E1855" t="str">
            <v>海陽町</v>
          </cell>
          <cell r="F1855" t="str">
            <v>02</v>
          </cell>
          <cell r="G1855" t="str">
            <v>特環 単独</v>
          </cell>
          <cell r="H1855" t="str">
            <v>特定環境保全公共下水道</v>
          </cell>
          <cell r="I1855" t="str">
            <v>単独</v>
          </cell>
          <cell r="J1855" t="str">
            <v>002</v>
          </cell>
          <cell r="K1855" t="str">
            <v>海部浄化センター</v>
          </cell>
          <cell r="M1855" t="str">
            <v>1</v>
          </cell>
          <cell r="N1855" t="str">
            <v>1</v>
          </cell>
          <cell r="Q1855">
            <v>39539</v>
          </cell>
          <cell r="R1855" t="str">
            <v>平成</v>
          </cell>
          <cell r="S1855">
            <v>20</v>
          </cell>
          <cell r="T1855">
            <v>4</v>
          </cell>
          <cell r="AB1855">
            <v>2726</v>
          </cell>
          <cell r="AF1855">
            <v>15</v>
          </cell>
          <cell r="AI1855" t="str">
            <v>鞆浦港漁港内</v>
          </cell>
          <cell r="AQ1855" t="str">
            <v/>
          </cell>
          <cell r="AR1855" t="str">
            <v>土壌被覆型礫間接触法</v>
          </cell>
          <cell r="AS1855" t="str">
            <v>3638802002</v>
          </cell>
          <cell r="AT1855" t="str">
            <v/>
          </cell>
          <cell r="AU1855" t="str">
            <v>10</v>
          </cell>
          <cell r="AV1855" t="str">
            <v>10</v>
          </cell>
          <cell r="AW1855">
            <v>0</v>
          </cell>
          <cell r="AX1855">
            <v>0</v>
          </cell>
          <cell r="AY1855">
            <v>0</v>
          </cell>
          <cell r="AZ1855">
            <v>0</v>
          </cell>
          <cell r="BA1855">
            <v>0</v>
          </cell>
          <cell r="BD1855" t="str">
            <v/>
          </cell>
          <cell r="BE1855">
            <v>1</v>
          </cell>
          <cell r="BG1855" t="str">
            <v>1100</v>
          </cell>
        </row>
        <row r="1856">
          <cell r="B1856" t="str">
            <v>G363880206100300</v>
          </cell>
          <cell r="C1856" t="str">
            <v>36.徳島県</v>
          </cell>
          <cell r="D1856" t="str">
            <v>388</v>
          </cell>
          <cell r="E1856" t="str">
            <v>海陽町</v>
          </cell>
          <cell r="F1856" t="str">
            <v>02</v>
          </cell>
          <cell r="G1856" t="str">
            <v>特環 単独</v>
          </cell>
          <cell r="H1856" t="str">
            <v>特定環境保全公共下水道</v>
          </cell>
          <cell r="I1856" t="str">
            <v>単独</v>
          </cell>
          <cell r="J1856" t="str">
            <v>003</v>
          </cell>
          <cell r="K1856" t="str">
            <v>宍喰浄化センター</v>
          </cell>
          <cell r="M1856" t="str">
            <v>1</v>
          </cell>
          <cell r="N1856" t="str">
            <v>1</v>
          </cell>
          <cell r="Q1856">
            <v>39904</v>
          </cell>
          <cell r="R1856" t="str">
            <v>平成</v>
          </cell>
          <cell r="S1856">
            <v>21</v>
          </cell>
          <cell r="T1856">
            <v>4</v>
          </cell>
          <cell r="AB1856">
            <v>6956</v>
          </cell>
          <cell r="AF1856">
            <v>15</v>
          </cell>
          <cell r="AJ1856" t="str">
            <v>古目谷川</v>
          </cell>
          <cell r="AQ1856" t="str">
            <v/>
          </cell>
          <cell r="AR1856" t="str">
            <v>オキシディションディッチ法</v>
          </cell>
          <cell r="AS1856" t="str">
            <v>3638802003</v>
          </cell>
          <cell r="AT1856" t="str">
            <v/>
          </cell>
          <cell r="AU1856" t="str">
            <v>10</v>
          </cell>
          <cell r="AV1856" t="str">
            <v>10</v>
          </cell>
          <cell r="AW1856">
            <v>0</v>
          </cell>
          <cell r="AX1856">
            <v>0</v>
          </cell>
          <cell r="AY1856">
            <v>0</v>
          </cell>
          <cell r="AZ1856">
            <v>0</v>
          </cell>
          <cell r="BA1856">
            <v>0</v>
          </cell>
          <cell r="BD1856" t="str">
            <v/>
          </cell>
          <cell r="BE1856">
            <v>1</v>
          </cell>
          <cell r="BG1856" t="str">
            <v>1100</v>
          </cell>
        </row>
        <row r="1857">
          <cell r="B1857" t="str">
            <v>G364680206100100</v>
          </cell>
          <cell r="C1857" t="str">
            <v>36.徳島県</v>
          </cell>
          <cell r="D1857" t="str">
            <v>468</v>
          </cell>
          <cell r="E1857" t="str">
            <v>つるぎ町</v>
          </cell>
          <cell r="F1857" t="str">
            <v>02</v>
          </cell>
          <cell r="G1857" t="str">
            <v>特環 単独</v>
          </cell>
          <cell r="H1857" t="str">
            <v>特定環境保全公共下水道</v>
          </cell>
          <cell r="I1857" t="str">
            <v>単独</v>
          </cell>
          <cell r="J1857" t="str">
            <v>001</v>
          </cell>
          <cell r="K1857" t="str">
            <v>貞光浄化センター</v>
          </cell>
          <cell r="M1857" t="str">
            <v>1</v>
          </cell>
          <cell r="Q1857">
            <v>39904</v>
          </cell>
          <cell r="R1857" t="str">
            <v>平成</v>
          </cell>
          <cell r="S1857">
            <v>21</v>
          </cell>
          <cell r="T1857">
            <v>4</v>
          </cell>
          <cell r="AB1857">
            <v>7866</v>
          </cell>
          <cell r="AC1857" t="str">
            <v>吉野川上流</v>
          </cell>
          <cell r="AD1857" t="str">
            <v>ＡＡ</v>
          </cell>
          <cell r="AE1857" t="str">
            <v>イ</v>
          </cell>
          <cell r="AF1857">
            <v>15</v>
          </cell>
          <cell r="AI1857" t="str">
            <v>貞光川</v>
          </cell>
          <cell r="AK1857" t="str">
            <v>貞光川</v>
          </cell>
          <cell r="AQ1857" t="str">
            <v/>
          </cell>
          <cell r="AR1857" t="str">
            <v>嫌気好気ろ床法</v>
          </cell>
          <cell r="AS1857" t="str">
            <v>3646802001</v>
          </cell>
          <cell r="AT1857">
            <v>1</v>
          </cell>
          <cell r="AU1857" t="str">
            <v>00</v>
          </cell>
          <cell r="AV1857" t="str">
            <v>00</v>
          </cell>
          <cell r="AW1857">
            <v>0</v>
          </cell>
          <cell r="AX1857">
            <v>0</v>
          </cell>
          <cell r="AY1857">
            <v>0</v>
          </cell>
          <cell r="AZ1857">
            <v>0</v>
          </cell>
          <cell r="BA1857">
            <v>0</v>
          </cell>
          <cell r="BD1857" t="str">
            <v/>
          </cell>
          <cell r="BE1857">
            <v>1</v>
          </cell>
          <cell r="BG1857" t="str">
            <v>1000</v>
          </cell>
        </row>
        <row r="1858">
          <cell r="B1858" t="str">
            <v>G364890206100100</v>
          </cell>
          <cell r="C1858" t="str">
            <v>36.徳島県</v>
          </cell>
          <cell r="D1858" t="str">
            <v>489</v>
          </cell>
          <cell r="E1858" t="str">
            <v>東みよし町</v>
          </cell>
          <cell r="F1858" t="str">
            <v>02</v>
          </cell>
          <cell r="G1858" t="str">
            <v>特環 単独</v>
          </cell>
          <cell r="H1858" t="str">
            <v>特定環境保全公共下水道</v>
          </cell>
          <cell r="I1858" t="str">
            <v>単独</v>
          </cell>
          <cell r="J1858" t="str">
            <v>001</v>
          </cell>
          <cell r="K1858" t="str">
            <v>三好浄化センター</v>
          </cell>
          <cell r="M1858" t="str">
            <v>1</v>
          </cell>
          <cell r="N1858" t="str">
            <v>1</v>
          </cell>
          <cell r="Q1858">
            <v>37980</v>
          </cell>
          <cell r="R1858" t="str">
            <v>平成</v>
          </cell>
          <cell r="S1858">
            <v>15</v>
          </cell>
          <cell r="T1858">
            <v>12</v>
          </cell>
          <cell r="AB1858">
            <v>14718</v>
          </cell>
          <cell r="AC1858" t="str">
            <v>紀伊水道</v>
          </cell>
          <cell r="AD1858" t="str">
            <v>Ａ</v>
          </cell>
          <cell r="AE1858" t="str">
            <v>イ</v>
          </cell>
          <cell r="AF1858">
            <v>15</v>
          </cell>
          <cell r="AK1858" t="str">
            <v>吉野川</v>
          </cell>
          <cell r="AL1858" t="str">
            <v>昼間簡易水道第上水道</v>
          </cell>
          <cell r="AM1858">
            <v>1.5</v>
          </cell>
          <cell r="AO1858" t="str">
            <v>東みよし町</v>
          </cell>
          <cell r="AQ1858" t="str">
            <v/>
          </cell>
          <cell r="AR1858" t="str">
            <v>オキシディションディッチ法</v>
          </cell>
          <cell r="AS1858" t="str">
            <v>3648902001</v>
          </cell>
          <cell r="AT1858" t="str">
            <v/>
          </cell>
          <cell r="AU1858" t="str">
            <v>10</v>
          </cell>
          <cell r="AV1858" t="str">
            <v>10</v>
          </cell>
          <cell r="AW1858">
            <v>0</v>
          </cell>
          <cell r="AX1858">
            <v>0</v>
          </cell>
          <cell r="AY1858">
            <v>0</v>
          </cell>
          <cell r="AZ1858">
            <v>0</v>
          </cell>
          <cell r="BA1858">
            <v>0</v>
          </cell>
          <cell r="BD1858" t="str">
            <v/>
          </cell>
          <cell r="BE1858">
            <v>1</v>
          </cell>
          <cell r="BG1858" t="str">
            <v>1100</v>
          </cell>
        </row>
        <row r="1859">
          <cell r="B1859" t="str">
            <v>G370018106100100</v>
          </cell>
          <cell r="C1859" t="str">
            <v>37.香川県</v>
          </cell>
          <cell r="D1859" t="str">
            <v>001</v>
          </cell>
          <cell r="E1859" t="str">
            <v>中讃流域</v>
          </cell>
          <cell r="F1859" t="str">
            <v>81</v>
          </cell>
          <cell r="G1859" t="str">
            <v>流域</v>
          </cell>
          <cell r="H1859" t="str">
            <v>流域下水道</v>
          </cell>
          <cell r="I1859" t="str">
            <v/>
          </cell>
          <cell r="J1859" t="str">
            <v>001</v>
          </cell>
          <cell r="K1859" t="str">
            <v>大束川浄化センター</v>
          </cell>
          <cell r="M1859" t="str">
            <v>1</v>
          </cell>
          <cell r="N1859" t="str">
            <v>1</v>
          </cell>
          <cell r="P1859" t="str">
            <v>1</v>
          </cell>
          <cell r="Q1859">
            <v>31138</v>
          </cell>
          <cell r="R1859" t="str">
            <v>昭和</v>
          </cell>
          <cell r="S1859">
            <v>60</v>
          </cell>
          <cell r="T1859">
            <v>4</v>
          </cell>
          <cell r="AB1859">
            <v>121000</v>
          </cell>
          <cell r="AC1859" t="str">
            <v>備讃瀬戸海域</v>
          </cell>
          <cell r="AD1859" t="str">
            <v>Ａ</v>
          </cell>
          <cell r="AE1859" t="str">
            <v>イ</v>
          </cell>
          <cell r="AF1859">
            <v>15</v>
          </cell>
          <cell r="AI1859" t="str">
            <v>瀬戸内海</v>
          </cell>
          <cell r="AQ1859" t="str">
            <v/>
          </cell>
          <cell r="AR1859" t="str">
            <v>標準活性汚泥法</v>
          </cell>
          <cell r="AS1859" t="str">
            <v>3700181001</v>
          </cell>
          <cell r="AT1859" t="str">
            <v/>
          </cell>
          <cell r="AU1859" t="str">
            <v>10</v>
          </cell>
          <cell r="AV1859" t="str">
            <v>10</v>
          </cell>
          <cell r="AW1859">
            <v>1</v>
          </cell>
          <cell r="AX1859">
            <v>0</v>
          </cell>
          <cell r="AY1859">
            <v>0</v>
          </cell>
          <cell r="AZ1859">
            <v>0</v>
          </cell>
          <cell r="BA1859">
            <v>0</v>
          </cell>
          <cell r="BD1859" t="str">
            <v/>
          </cell>
          <cell r="BE1859">
            <v>1</v>
          </cell>
          <cell r="BG1859" t="str">
            <v>1101</v>
          </cell>
        </row>
        <row r="1860">
          <cell r="B1860" t="str">
            <v>G370018106100200</v>
          </cell>
          <cell r="C1860" t="str">
            <v>37.香川県</v>
          </cell>
          <cell r="D1860" t="str">
            <v>001</v>
          </cell>
          <cell r="E1860" t="str">
            <v>中讃流域</v>
          </cell>
          <cell r="F1860" t="str">
            <v>81</v>
          </cell>
          <cell r="G1860" t="str">
            <v>流域</v>
          </cell>
          <cell r="H1860" t="str">
            <v>流域下水道</v>
          </cell>
          <cell r="I1860" t="str">
            <v/>
          </cell>
          <cell r="J1860" t="str">
            <v>002</v>
          </cell>
          <cell r="K1860" t="str">
            <v>金倉川浄化センター</v>
          </cell>
          <cell r="M1860" t="str">
            <v>1</v>
          </cell>
          <cell r="N1860" t="str">
            <v>1</v>
          </cell>
          <cell r="P1860" t="str">
            <v>1</v>
          </cell>
          <cell r="Q1860">
            <v>33208</v>
          </cell>
          <cell r="R1860" t="str">
            <v>平成</v>
          </cell>
          <cell r="S1860">
            <v>2</v>
          </cell>
          <cell r="T1860">
            <v>12</v>
          </cell>
          <cell r="AB1860">
            <v>111220</v>
          </cell>
          <cell r="AC1860" t="str">
            <v>備讃瀬戸海域</v>
          </cell>
          <cell r="AD1860" t="str">
            <v>Ａ</v>
          </cell>
          <cell r="AE1860" t="str">
            <v>イ</v>
          </cell>
          <cell r="AF1860">
            <v>15</v>
          </cell>
          <cell r="AI1860" t="str">
            <v>瀬戸内海</v>
          </cell>
          <cell r="AQ1860" t="str">
            <v/>
          </cell>
          <cell r="AR1860" t="str">
            <v>標準活性汚泥法</v>
          </cell>
          <cell r="AS1860" t="str">
            <v>3700181002</v>
          </cell>
          <cell r="AT1860" t="str">
            <v/>
          </cell>
          <cell r="AU1860" t="str">
            <v>10</v>
          </cell>
          <cell r="AV1860" t="str">
            <v>10</v>
          </cell>
          <cell r="AW1860">
            <v>1</v>
          </cell>
          <cell r="AX1860">
            <v>0</v>
          </cell>
          <cell r="AY1860">
            <v>0</v>
          </cell>
          <cell r="AZ1860">
            <v>0</v>
          </cell>
          <cell r="BA1860">
            <v>0</v>
          </cell>
          <cell r="BD1860" t="str">
            <v/>
          </cell>
          <cell r="BE1860">
            <v>1</v>
          </cell>
          <cell r="BG1860" t="str">
            <v>1101</v>
          </cell>
        </row>
        <row r="1861">
          <cell r="B1861" t="str">
            <v>G370038106100100</v>
          </cell>
          <cell r="C1861" t="str">
            <v>37.香川県</v>
          </cell>
          <cell r="D1861" t="str">
            <v>003</v>
          </cell>
          <cell r="E1861" t="str">
            <v>香東川流域</v>
          </cell>
          <cell r="F1861" t="str">
            <v>81</v>
          </cell>
          <cell r="G1861" t="str">
            <v>流域</v>
          </cell>
          <cell r="H1861" t="str">
            <v>流域下水道</v>
          </cell>
          <cell r="I1861" t="str">
            <v/>
          </cell>
          <cell r="J1861" t="str">
            <v>001</v>
          </cell>
          <cell r="K1861" t="str">
            <v>香東川浄化センター</v>
          </cell>
          <cell r="M1861" t="str">
            <v>1</v>
          </cell>
          <cell r="N1861" t="str">
            <v>1</v>
          </cell>
          <cell r="P1861" t="str">
            <v>1</v>
          </cell>
          <cell r="Q1861">
            <v>37104</v>
          </cell>
          <cell r="R1861" t="str">
            <v>平成</v>
          </cell>
          <cell r="S1861">
            <v>13</v>
          </cell>
          <cell r="T1861">
            <v>8</v>
          </cell>
          <cell r="AB1861">
            <v>175707</v>
          </cell>
          <cell r="AC1861" t="str">
            <v>備讃瀬戸</v>
          </cell>
          <cell r="AD1861" t="str">
            <v>Ａ</v>
          </cell>
          <cell r="AE1861" t="str">
            <v>イ</v>
          </cell>
          <cell r="AF1861">
            <v>15</v>
          </cell>
          <cell r="AI1861" t="str">
            <v>備讃瀬戸海域</v>
          </cell>
          <cell r="AQ1861" t="str">
            <v/>
          </cell>
          <cell r="AR1861" t="str">
            <v>標準活性汚泥法</v>
          </cell>
          <cell r="AS1861" t="str">
            <v>3700381001</v>
          </cell>
          <cell r="AT1861" t="str">
            <v/>
          </cell>
          <cell r="AU1861" t="str">
            <v>10</v>
          </cell>
          <cell r="AV1861" t="str">
            <v>10</v>
          </cell>
          <cell r="AW1861">
            <v>1</v>
          </cell>
          <cell r="AX1861">
            <v>0</v>
          </cell>
          <cell r="AY1861">
            <v>0</v>
          </cell>
          <cell r="AZ1861">
            <v>0</v>
          </cell>
          <cell r="BA1861">
            <v>0</v>
          </cell>
          <cell r="BD1861" t="str">
            <v/>
          </cell>
          <cell r="BE1861">
            <v>1</v>
          </cell>
          <cell r="BG1861" t="str">
            <v>1101</v>
          </cell>
        </row>
        <row r="1862">
          <cell r="B1862" t="str">
            <v>G372010106100100</v>
          </cell>
          <cell r="C1862" t="str">
            <v>37.香川県</v>
          </cell>
          <cell r="D1862" t="str">
            <v>201</v>
          </cell>
          <cell r="E1862" t="str">
            <v>高松市</v>
          </cell>
          <cell r="F1862" t="str">
            <v>01</v>
          </cell>
          <cell r="G1862" t="str">
            <v>公共 単独</v>
          </cell>
          <cell r="H1862" t="str">
            <v>公共下水道</v>
          </cell>
          <cell r="I1862" t="str">
            <v>単独</v>
          </cell>
          <cell r="J1862" t="str">
            <v>001</v>
          </cell>
          <cell r="K1862" t="str">
            <v>牟礼浄化苑</v>
          </cell>
          <cell r="M1862" t="str">
            <v>1</v>
          </cell>
          <cell r="N1862" t="str">
            <v>1</v>
          </cell>
          <cell r="P1862" t="str">
            <v>1</v>
          </cell>
          <cell r="Q1862">
            <v>29129</v>
          </cell>
          <cell r="R1862" t="str">
            <v>昭和</v>
          </cell>
          <cell r="S1862">
            <v>54</v>
          </cell>
          <cell r="T1862">
            <v>10</v>
          </cell>
          <cell r="AB1862">
            <v>51163</v>
          </cell>
          <cell r="AC1862" t="str">
            <v>東讃海域</v>
          </cell>
          <cell r="AD1862" t="str">
            <v>Ａ</v>
          </cell>
          <cell r="AE1862" t="str">
            <v>イ</v>
          </cell>
          <cell r="AF1862">
            <v>15</v>
          </cell>
          <cell r="AI1862" t="str">
            <v>東讃海域</v>
          </cell>
          <cell r="AQ1862" t="str">
            <v/>
          </cell>
          <cell r="AR1862" t="str">
            <v>標準活性汚泥法</v>
          </cell>
          <cell r="AS1862" t="str">
            <v>3720101001</v>
          </cell>
          <cell r="AT1862" t="str">
            <v/>
          </cell>
          <cell r="AU1862" t="str">
            <v>10</v>
          </cell>
          <cell r="AV1862" t="str">
            <v>10</v>
          </cell>
          <cell r="AW1862">
            <v>1</v>
          </cell>
          <cell r="AX1862">
            <v>0</v>
          </cell>
          <cell r="AY1862">
            <v>0</v>
          </cell>
          <cell r="AZ1862">
            <v>0</v>
          </cell>
          <cell r="BA1862">
            <v>0</v>
          </cell>
          <cell r="BD1862" t="str">
            <v/>
          </cell>
          <cell r="BE1862">
            <v>1</v>
          </cell>
          <cell r="BG1862" t="str">
            <v>1101</v>
          </cell>
        </row>
        <row r="1863">
          <cell r="B1863" t="str">
            <v>G372010106100200</v>
          </cell>
          <cell r="C1863" t="str">
            <v>37.香川県</v>
          </cell>
          <cell r="D1863" t="str">
            <v>201</v>
          </cell>
          <cell r="E1863" t="str">
            <v>高松市</v>
          </cell>
          <cell r="F1863" t="str">
            <v>01</v>
          </cell>
          <cell r="G1863" t="str">
            <v>公共 単独</v>
          </cell>
          <cell r="H1863" t="str">
            <v>公共下水道</v>
          </cell>
          <cell r="I1863" t="str">
            <v>単独</v>
          </cell>
          <cell r="J1863" t="str">
            <v>002</v>
          </cell>
          <cell r="K1863" t="str">
            <v>東部下水処理場</v>
          </cell>
          <cell r="M1863" t="str">
            <v>1</v>
          </cell>
          <cell r="N1863" t="str">
            <v>1</v>
          </cell>
          <cell r="P1863" t="str">
            <v>1</v>
          </cell>
          <cell r="Q1863">
            <v>30256</v>
          </cell>
          <cell r="R1863" t="str">
            <v>昭和</v>
          </cell>
          <cell r="S1863">
            <v>57</v>
          </cell>
          <cell r="T1863">
            <v>11</v>
          </cell>
          <cell r="AB1863">
            <v>143700</v>
          </cell>
          <cell r="AC1863" t="str">
            <v>備讃瀬戸</v>
          </cell>
          <cell r="AD1863" t="str">
            <v>Ａ</v>
          </cell>
          <cell r="AE1863" t="str">
            <v>イ</v>
          </cell>
          <cell r="AF1863">
            <v>15</v>
          </cell>
          <cell r="AI1863" t="str">
            <v>備讃瀬戸</v>
          </cell>
          <cell r="AQ1863" t="str">
            <v/>
          </cell>
          <cell r="AR1863" t="str">
            <v>標準活性汚泥法</v>
          </cell>
          <cell r="AS1863" t="str">
            <v>3720101002</v>
          </cell>
          <cell r="AT1863" t="str">
            <v/>
          </cell>
          <cell r="AU1863" t="str">
            <v>10</v>
          </cell>
          <cell r="AV1863" t="str">
            <v>10</v>
          </cell>
          <cell r="AW1863">
            <v>1</v>
          </cell>
          <cell r="AX1863">
            <v>0</v>
          </cell>
          <cell r="AY1863">
            <v>0</v>
          </cell>
          <cell r="AZ1863">
            <v>0</v>
          </cell>
          <cell r="BA1863">
            <v>0</v>
          </cell>
          <cell r="BD1863" t="str">
            <v/>
          </cell>
          <cell r="BE1863">
            <v>1</v>
          </cell>
          <cell r="BG1863" t="str">
            <v>1101</v>
          </cell>
        </row>
        <row r="1864">
          <cell r="B1864" t="str">
            <v>G372010206100300</v>
          </cell>
          <cell r="C1864" t="str">
            <v>37.香川県</v>
          </cell>
          <cell r="D1864" t="str">
            <v>201</v>
          </cell>
          <cell r="E1864" t="str">
            <v>高松市</v>
          </cell>
          <cell r="F1864" t="str">
            <v>02</v>
          </cell>
          <cell r="G1864" t="str">
            <v>特環 単独</v>
          </cell>
          <cell r="H1864" t="str">
            <v>特定環境保全公共下水道</v>
          </cell>
          <cell r="I1864" t="str">
            <v>単独</v>
          </cell>
          <cell r="J1864" t="str">
            <v>003</v>
          </cell>
          <cell r="K1864" t="str">
            <v>庵治浄化センター</v>
          </cell>
          <cell r="M1864" t="str">
            <v>1</v>
          </cell>
          <cell r="N1864" t="str">
            <v>1</v>
          </cell>
          <cell r="Q1864">
            <v>36526</v>
          </cell>
          <cell r="R1864" t="str">
            <v>平成</v>
          </cell>
          <cell r="S1864">
            <v>12</v>
          </cell>
          <cell r="T1864">
            <v>1</v>
          </cell>
          <cell r="AB1864">
            <v>6910</v>
          </cell>
          <cell r="AC1864" t="str">
            <v>東讃海域</v>
          </cell>
          <cell r="AD1864" t="str">
            <v>Ａ</v>
          </cell>
          <cell r="AE1864" t="str">
            <v>イ</v>
          </cell>
          <cell r="AF1864">
            <v>15</v>
          </cell>
          <cell r="AI1864" t="str">
            <v>東讃海域</v>
          </cell>
          <cell r="AQ1864" t="str">
            <v/>
          </cell>
          <cell r="AR1864" t="str">
            <v>オキシディションディッチ法</v>
          </cell>
          <cell r="AS1864" t="str">
            <v>3720102003</v>
          </cell>
          <cell r="AT1864" t="str">
            <v/>
          </cell>
          <cell r="AU1864" t="str">
            <v>10</v>
          </cell>
          <cell r="AV1864" t="str">
            <v>10</v>
          </cell>
          <cell r="AW1864">
            <v>0</v>
          </cell>
          <cell r="AX1864">
            <v>0</v>
          </cell>
          <cell r="AY1864">
            <v>0</v>
          </cell>
          <cell r="AZ1864">
            <v>0</v>
          </cell>
          <cell r="BA1864">
            <v>0</v>
          </cell>
          <cell r="BD1864" t="str">
            <v/>
          </cell>
          <cell r="BE1864">
            <v>1</v>
          </cell>
          <cell r="BG1864" t="str">
            <v>1100</v>
          </cell>
        </row>
        <row r="1865">
          <cell r="B1865" t="str">
            <v>G372020106100100</v>
          </cell>
          <cell r="C1865" t="str">
            <v>37.香川県</v>
          </cell>
          <cell r="D1865" t="str">
            <v>202</v>
          </cell>
          <cell r="E1865" t="str">
            <v>丸亀市</v>
          </cell>
          <cell r="F1865" t="str">
            <v>01</v>
          </cell>
          <cell r="G1865" t="str">
            <v>公共 単独</v>
          </cell>
          <cell r="H1865" t="str">
            <v>公共下水道</v>
          </cell>
          <cell r="I1865" t="str">
            <v>単独</v>
          </cell>
          <cell r="J1865" t="str">
            <v>001</v>
          </cell>
          <cell r="K1865" t="str">
            <v>丸亀市浄化センター</v>
          </cell>
          <cell r="M1865" t="str">
            <v>1</v>
          </cell>
          <cell r="N1865" t="str">
            <v>1</v>
          </cell>
          <cell r="Q1865">
            <v>27912</v>
          </cell>
          <cell r="R1865" t="str">
            <v>昭和</v>
          </cell>
          <cell r="S1865">
            <v>51</v>
          </cell>
          <cell r="T1865">
            <v>6</v>
          </cell>
          <cell r="AB1865">
            <v>38980</v>
          </cell>
          <cell r="AC1865" t="str">
            <v>備讃瀬戸</v>
          </cell>
          <cell r="AD1865" t="str">
            <v>Ａ</v>
          </cell>
          <cell r="AE1865" t="str">
            <v>イ</v>
          </cell>
          <cell r="AF1865">
            <v>15</v>
          </cell>
          <cell r="AQ1865" t="str">
            <v/>
          </cell>
          <cell r="AR1865" t="str">
            <v>標準活性汚泥法</v>
          </cell>
          <cell r="AS1865" t="str">
            <v>3720201001</v>
          </cell>
          <cell r="AT1865" t="str">
            <v/>
          </cell>
          <cell r="AU1865" t="str">
            <v>10</v>
          </cell>
          <cell r="AV1865" t="str">
            <v>10</v>
          </cell>
          <cell r="AW1865">
            <v>0</v>
          </cell>
          <cell r="AX1865">
            <v>0</v>
          </cell>
          <cell r="AY1865">
            <v>0</v>
          </cell>
          <cell r="AZ1865">
            <v>0</v>
          </cell>
          <cell r="BA1865">
            <v>0</v>
          </cell>
          <cell r="BD1865" t="str">
            <v/>
          </cell>
          <cell r="BE1865">
            <v>1</v>
          </cell>
          <cell r="BG1865" t="str">
            <v>1100</v>
          </cell>
        </row>
        <row r="1866">
          <cell r="B1866" t="str">
            <v>G372050106100100</v>
          </cell>
          <cell r="C1866" t="str">
            <v>37.香川県</v>
          </cell>
          <cell r="D1866" t="str">
            <v>205</v>
          </cell>
          <cell r="E1866" t="str">
            <v>観音寺市</v>
          </cell>
          <cell r="F1866" t="str">
            <v>01</v>
          </cell>
          <cell r="G1866" t="str">
            <v>公共 単独</v>
          </cell>
          <cell r="H1866" t="str">
            <v>公共下水道</v>
          </cell>
          <cell r="I1866" t="str">
            <v>単独</v>
          </cell>
          <cell r="J1866" t="str">
            <v>001</v>
          </cell>
          <cell r="K1866" t="str">
            <v>観音寺市下水浄化センター</v>
          </cell>
          <cell r="M1866" t="str">
            <v>1</v>
          </cell>
          <cell r="N1866" t="str">
            <v>1</v>
          </cell>
          <cell r="Q1866">
            <v>28946</v>
          </cell>
          <cell r="R1866" t="str">
            <v>昭和</v>
          </cell>
          <cell r="S1866">
            <v>54</v>
          </cell>
          <cell r="T1866">
            <v>4</v>
          </cell>
          <cell r="AB1866">
            <v>36800</v>
          </cell>
          <cell r="AC1866" t="str">
            <v>燧灘東部海域</v>
          </cell>
          <cell r="AD1866" t="str">
            <v>Ａ</v>
          </cell>
          <cell r="AE1866" t="str">
            <v>ロ</v>
          </cell>
          <cell r="AF1866">
            <v>15</v>
          </cell>
          <cell r="AG1866">
            <v>20</v>
          </cell>
          <cell r="AH1866">
            <v>2.4</v>
          </cell>
          <cell r="AI1866" t="str">
            <v>燧灘東部海域</v>
          </cell>
          <cell r="AQ1866" t="str">
            <v/>
          </cell>
          <cell r="AR1866" t="str">
            <v>標準活性汚泥法</v>
          </cell>
          <cell r="AS1866" t="str">
            <v>3720501001</v>
          </cell>
          <cell r="AT1866" t="str">
            <v/>
          </cell>
          <cell r="AU1866" t="str">
            <v>10</v>
          </cell>
          <cell r="AV1866" t="str">
            <v>10</v>
          </cell>
          <cell r="AW1866">
            <v>0</v>
          </cell>
          <cell r="AX1866">
            <v>0</v>
          </cell>
          <cell r="AY1866">
            <v>0</v>
          </cell>
          <cell r="AZ1866">
            <v>0</v>
          </cell>
          <cell r="BA1866">
            <v>0</v>
          </cell>
          <cell r="BD1866" t="str">
            <v/>
          </cell>
          <cell r="BE1866">
            <v>1</v>
          </cell>
          <cell r="BG1866" t="str">
            <v>1100</v>
          </cell>
        </row>
        <row r="1867">
          <cell r="B1867" t="str">
            <v>G372060106100100</v>
          </cell>
          <cell r="C1867" t="str">
            <v>37.香川県</v>
          </cell>
          <cell r="D1867" t="str">
            <v>206</v>
          </cell>
          <cell r="E1867" t="str">
            <v>さぬき市</v>
          </cell>
          <cell r="F1867" t="str">
            <v>01</v>
          </cell>
          <cell r="G1867" t="str">
            <v>公共 単独</v>
          </cell>
          <cell r="H1867" t="str">
            <v>公共下水道</v>
          </cell>
          <cell r="I1867" t="str">
            <v>単独</v>
          </cell>
          <cell r="J1867" t="str">
            <v>001</v>
          </cell>
          <cell r="K1867" t="str">
            <v>津田町中央浄化センター</v>
          </cell>
          <cell r="M1867" t="str">
            <v>1</v>
          </cell>
          <cell r="N1867" t="str">
            <v>1</v>
          </cell>
          <cell r="Q1867">
            <v>33329</v>
          </cell>
          <cell r="R1867" t="str">
            <v>平成</v>
          </cell>
          <cell r="S1867">
            <v>3</v>
          </cell>
          <cell r="T1867">
            <v>4</v>
          </cell>
          <cell r="AB1867">
            <v>1989</v>
          </cell>
          <cell r="AC1867" t="str">
            <v>東讃海域</v>
          </cell>
          <cell r="AD1867" t="str">
            <v>Ａ</v>
          </cell>
          <cell r="AE1867" t="str">
            <v>イ</v>
          </cell>
          <cell r="AF1867">
            <v>15</v>
          </cell>
          <cell r="AG1867">
            <v>15</v>
          </cell>
          <cell r="AH1867">
            <v>3</v>
          </cell>
          <cell r="AJ1867" t="str">
            <v>津田川</v>
          </cell>
          <cell r="AL1867" t="str">
            <v>川北</v>
          </cell>
          <cell r="AM1867">
            <v>0.6</v>
          </cell>
          <cell r="AO1867" t="str">
            <v>さぬき市</v>
          </cell>
          <cell r="AQ1867" t="str">
            <v/>
          </cell>
          <cell r="AR1867" t="str">
            <v>回分式活性汚泥法</v>
          </cell>
          <cell r="AS1867" t="str">
            <v>3720601001</v>
          </cell>
          <cell r="AT1867" t="str">
            <v/>
          </cell>
          <cell r="AU1867" t="str">
            <v>10</v>
          </cell>
          <cell r="AV1867" t="str">
            <v>10</v>
          </cell>
          <cell r="AW1867">
            <v>0</v>
          </cell>
          <cell r="AX1867">
            <v>0</v>
          </cell>
          <cell r="AY1867">
            <v>0</v>
          </cell>
          <cell r="AZ1867">
            <v>0</v>
          </cell>
          <cell r="BA1867">
            <v>0</v>
          </cell>
          <cell r="BD1867" t="str">
            <v/>
          </cell>
          <cell r="BE1867">
            <v>1</v>
          </cell>
          <cell r="BG1867" t="str">
            <v>1100</v>
          </cell>
        </row>
        <row r="1868">
          <cell r="B1868" t="str">
            <v>G372060106100200</v>
          </cell>
          <cell r="C1868" t="str">
            <v>37.香川県</v>
          </cell>
          <cell r="D1868" t="str">
            <v>206</v>
          </cell>
          <cell r="E1868" t="str">
            <v>さぬき市</v>
          </cell>
          <cell r="F1868" t="str">
            <v>01</v>
          </cell>
          <cell r="G1868" t="str">
            <v>公共 単独</v>
          </cell>
          <cell r="H1868" t="str">
            <v>公共下水道</v>
          </cell>
          <cell r="I1868" t="str">
            <v>単独</v>
          </cell>
          <cell r="J1868" t="str">
            <v>002</v>
          </cell>
          <cell r="K1868" t="str">
            <v>津田町東部浄化センター</v>
          </cell>
          <cell r="M1868" t="str">
            <v>1</v>
          </cell>
          <cell r="N1868" t="str">
            <v>1</v>
          </cell>
          <cell r="Q1868">
            <v>36130</v>
          </cell>
          <cell r="R1868" t="str">
            <v>平成</v>
          </cell>
          <cell r="S1868">
            <v>10</v>
          </cell>
          <cell r="T1868">
            <v>12</v>
          </cell>
          <cell r="AB1868">
            <v>1707</v>
          </cell>
          <cell r="AC1868" t="str">
            <v>東讃海域</v>
          </cell>
          <cell r="AD1868" t="str">
            <v>Ａ</v>
          </cell>
          <cell r="AE1868" t="str">
            <v>イ</v>
          </cell>
          <cell r="AG1868">
            <v>15</v>
          </cell>
          <cell r="AH1868">
            <v>3</v>
          </cell>
          <cell r="AI1868" t="str">
            <v>東代川</v>
          </cell>
          <cell r="AQ1868" t="str">
            <v/>
          </cell>
          <cell r="AR1868" t="str">
            <v>回分式活性汚泥法</v>
          </cell>
          <cell r="AS1868" t="str">
            <v>3720601002</v>
          </cell>
          <cell r="AT1868" t="str">
            <v/>
          </cell>
          <cell r="AU1868" t="str">
            <v>10</v>
          </cell>
          <cell r="AV1868" t="str">
            <v>10</v>
          </cell>
          <cell r="AW1868">
            <v>0</v>
          </cell>
          <cell r="AX1868">
            <v>0</v>
          </cell>
          <cell r="AY1868">
            <v>0</v>
          </cell>
          <cell r="AZ1868">
            <v>0</v>
          </cell>
          <cell r="BA1868">
            <v>0</v>
          </cell>
          <cell r="BD1868" t="str">
            <v/>
          </cell>
          <cell r="BE1868">
            <v>1</v>
          </cell>
          <cell r="BG1868" t="str">
            <v>1100</v>
          </cell>
        </row>
        <row r="1869">
          <cell r="B1869" t="str">
            <v>G372060106100300</v>
          </cell>
          <cell r="C1869" t="str">
            <v>37.香川県</v>
          </cell>
          <cell r="D1869" t="str">
            <v>206</v>
          </cell>
          <cell r="E1869" t="str">
            <v>さぬき市</v>
          </cell>
          <cell r="F1869" t="str">
            <v>01</v>
          </cell>
          <cell r="G1869" t="str">
            <v>公共 単独</v>
          </cell>
          <cell r="H1869" t="str">
            <v>公共下水道</v>
          </cell>
          <cell r="I1869" t="str">
            <v>単独</v>
          </cell>
          <cell r="J1869" t="str">
            <v>003</v>
          </cell>
          <cell r="K1869" t="str">
            <v>津田町西部浄化センター</v>
          </cell>
          <cell r="M1869" t="str">
            <v>1</v>
          </cell>
          <cell r="N1869" t="str">
            <v>1</v>
          </cell>
          <cell r="Q1869">
            <v>37347</v>
          </cell>
          <cell r="R1869" t="str">
            <v>平成</v>
          </cell>
          <cell r="S1869">
            <v>14</v>
          </cell>
          <cell r="T1869">
            <v>4</v>
          </cell>
          <cell r="AB1869">
            <v>2978</v>
          </cell>
          <cell r="AC1869" t="str">
            <v>東讃海域</v>
          </cell>
          <cell r="AD1869" t="str">
            <v>Ａ</v>
          </cell>
          <cell r="AE1869" t="str">
            <v>イ</v>
          </cell>
          <cell r="AF1869">
            <v>15</v>
          </cell>
          <cell r="AG1869">
            <v>15</v>
          </cell>
          <cell r="AH1869">
            <v>3</v>
          </cell>
          <cell r="AI1869" t="str">
            <v>弁天川</v>
          </cell>
          <cell r="AQ1869" t="str">
            <v/>
          </cell>
          <cell r="AR1869" t="str">
            <v>回分式活性汚泥法</v>
          </cell>
          <cell r="AS1869" t="str">
            <v>3720601003</v>
          </cell>
          <cell r="AT1869" t="str">
            <v/>
          </cell>
          <cell r="AU1869" t="str">
            <v>10</v>
          </cell>
          <cell r="AV1869" t="str">
            <v>10</v>
          </cell>
          <cell r="AW1869">
            <v>0</v>
          </cell>
          <cell r="AX1869">
            <v>0</v>
          </cell>
          <cell r="AY1869">
            <v>0</v>
          </cell>
          <cell r="AZ1869">
            <v>0</v>
          </cell>
          <cell r="BA1869">
            <v>0</v>
          </cell>
          <cell r="BD1869" t="str">
            <v/>
          </cell>
          <cell r="BE1869">
            <v>1</v>
          </cell>
          <cell r="BG1869" t="str">
            <v>1100</v>
          </cell>
        </row>
        <row r="1870">
          <cell r="B1870" t="str">
            <v>G372060206100400</v>
          </cell>
          <cell r="C1870" t="str">
            <v>37.香川県</v>
          </cell>
          <cell r="D1870" t="str">
            <v>206</v>
          </cell>
          <cell r="E1870" t="str">
            <v>さぬき市</v>
          </cell>
          <cell r="F1870" t="str">
            <v>02</v>
          </cell>
          <cell r="G1870" t="str">
            <v>特環 単独</v>
          </cell>
          <cell r="H1870" t="str">
            <v>特定環境保全公共下水道</v>
          </cell>
          <cell r="I1870" t="str">
            <v>単独</v>
          </cell>
          <cell r="J1870" t="str">
            <v>004</v>
          </cell>
          <cell r="K1870" t="str">
            <v>大川町東部浄化センター</v>
          </cell>
          <cell r="M1870" t="str">
            <v>1</v>
          </cell>
          <cell r="N1870" t="str">
            <v>1</v>
          </cell>
          <cell r="Q1870">
            <v>35521</v>
          </cell>
          <cell r="R1870" t="str">
            <v>平成</v>
          </cell>
          <cell r="S1870">
            <v>9</v>
          </cell>
          <cell r="T1870">
            <v>4</v>
          </cell>
          <cell r="AB1870">
            <v>3810</v>
          </cell>
          <cell r="AC1870" t="str">
            <v>津田川</v>
          </cell>
          <cell r="AD1870" t="str">
            <v>Ａ</v>
          </cell>
          <cell r="AE1870" t="str">
            <v>イ</v>
          </cell>
          <cell r="AF1870">
            <v>10</v>
          </cell>
          <cell r="AG1870">
            <v>20</v>
          </cell>
          <cell r="AH1870">
            <v>2</v>
          </cell>
          <cell r="AJ1870" t="str">
            <v>津田川</v>
          </cell>
          <cell r="AQ1870" t="str">
            <v/>
          </cell>
          <cell r="AR1870" t="str">
            <v>オキシディションディッチ法</v>
          </cell>
          <cell r="AS1870" t="str">
            <v>3720602004</v>
          </cell>
          <cell r="AT1870" t="str">
            <v/>
          </cell>
          <cell r="AU1870" t="str">
            <v>10</v>
          </cell>
          <cell r="AV1870" t="str">
            <v>10</v>
          </cell>
          <cell r="AW1870">
            <v>0</v>
          </cell>
          <cell r="AX1870">
            <v>0</v>
          </cell>
          <cell r="AY1870">
            <v>0</v>
          </cell>
          <cell r="AZ1870">
            <v>0</v>
          </cell>
          <cell r="BA1870">
            <v>0</v>
          </cell>
          <cell r="BD1870" t="str">
            <v/>
          </cell>
          <cell r="BE1870">
            <v>1</v>
          </cell>
          <cell r="BG1870" t="str">
            <v>1100</v>
          </cell>
        </row>
        <row r="1871">
          <cell r="B1871" t="str">
            <v>G372060206100500</v>
          </cell>
          <cell r="C1871" t="str">
            <v>37.香川県</v>
          </cell>
          <cell r="D1871" t="str">
            <v>206</v>
          </cell>
          <cell r="E1871" t="str">
            <v>さぬき市</v>
          </cell>
          <cell r="F1871" t="str">
            <v>02</v>
          </cell>
          <cell r="G1871" t="str">
            <v>特環 単独</v>
          </cell>
          <cell r="H1871" t="str">
            <v>特定環境保全公共下水道</v>
          </cell>
          <cell r="I1871" t="str">
            <v>単独</v>
          </cell>
          <cell r="J1871" t="str">
            <v>005</v>
          </cell>
          <cell r="K1871" t="str">
            <v>大川町西部浄化センター</v>
          </cell>
          <cell r="M1871" t="str">
            <v>1</v>
          </cell>
          <cell r="N1871" t="str">
            <v>1</v>
          </cell>
          <cell r="Q1871">
            <v>36982</v>
          </cell>
          <cell r="R1871" t="str">
            <v>平成</v>
          </cell>
          <cell r="S1871">
            <v>13</v>
          </cell>
          <cell r="T1871">
            <v>4</v>
          </cell>
          <cell r="AB1871">
            <v>13180</v>
          </cell>
          <cell r="AC1871" t="str">
            <v>津田川</v>
          </cell>
          <cell r="AD1871" t="str">
            <v>Ａ</v>
          </cell>
          <cell r="AE1871" t="str">
            <v>イ</v>
          </cell>
          <cell r="AF1871">
            <v>10</v>
          </cell>
          <cell r="AG1871">
            <v>15</v>
          </cell>
          <cell r="AH1871">
            <v>3</v>
          </cell>
          <cell r="AJ1871" t="str">
            <v>津田川</v>
          </cell>
          <cell r="AQ1871" t="str">
            <v/>
          </cell>
          <cell r="AR1871" t="str">
            <v>オキシディションディッチ法</v>
          </cell>
          <cell r="AS1871" t="str">
            <v>3720602005</v>
          </cell>
          <cell r="AT1871" t="str">
            <v/>
          </cell>
          <cell r="AU1871" t="str">
            <v>10</v>
          </cell>
          <cell r="AV1871" t="str">
            <v>10</v>
          </cell>
          <cell r="AW1871">
            <v>0</v>
          </cell>
          <cell r="AX1871">
            <v>0</v>
          </cell>
          <cell r="AY1871">
            <v>0</v>
          </cell>
          <cell r="AZ1871">
            <v>0</v>
          </cell>
          <cell r="BA1871">
            <v>0</v>
          </cell>
          <cell r="BD1871" t="str">
            <v/>
          </cell>
          <cell r="BE1871">
            <v>1</v>
          </cell>
          <cell r="BG1871" t="str">
            <v>1100</v>
          </cell>
        </row>
        <row r="1872">
          <cell r="B1872" t="str">
            <v>G372060106100600</v>
          </cell>
          <cell r="C1872" t="str">
            <v>37.香川県</v>
          </cell>
          <cell r="D1872" t="str">
            <v>206</v>
          </cell>
          <cell r="E1872" t="str">
            <v>さぬき市</v>
          </cell>
          <cell r="F1872" t="str">
            <v>01</v>
          </cell>
          <cell r="G1872" t="str">
            <v>公共 単独</v>
          </cell>
          <cell r="H1872" t="str">
            <v>公共下水道</v>
          </cell>
          <cell r="I1872" t="str">
            <v>単独</v>
          </cell>
          <cell r="J1872" t="str">
            <v>006</v>
          </cell>
          <cell r="K1872" t="str">
            <v>鴨部川浄化センター</v>
          </cell>
          <cell r="M1872" t="str">
            <v>1</v>
          </cell>
          <cell r="N1872" t="str">
            <v>1</v>
          </cell>
          <cell r="Q1872">
            <v>34943</v>
          </cell>
          <cell r="R1872" t="str">
            <v>平成</v>
          </cell>
          <cell r="S1872">
            <v>7</v>
          </cell>
          <cell r="T1872">
            <v>9</v>
          </cell>
          <cell r="U1872" t="str">
            <v>移管</v>
          </cell>
          <cell r="V1872">
            <v>41000</v>
          </cell>
          <cell r="W1872" t="str">
            <v>平成</v>
          </cell>
          <cell r="X1872">
            <v>24</v>
          </cell>
          <cell r="Y1872">
            <v>4</v>
          </cell>
          <cell r="AA1872" t="str">
            <v>流域下水道</v>
          </cell>
          <cell r="AB1872">
            <v>30000</v>
          </cell>
          <cell r="AC1872" t="str">
            <v>東讃海域</v>
          </cell>
          <cell r="AD1872" t="str">
            <v>Ａ</v>
          </cell>
          <cell r="AE1872" t="str">
            <v>イ</v>
          </cell>
          <cell r="AF1872">
            <v>15</v>
          </cell>
          <cell r="AI1872" t="str">
            <v>瀬戸内海</v>
          </cell>
          <cell r="AQ1872" t="str">
            <v/>
          </cell>
          <cell r="AR1872" t="str">
            <v>オキシディションディッチ法</v>
          </cell>
          <cell r="AS1872" t="str">
            <v>3720601006</v>
          </cell>
          <cell r="AT1872" t="str">
            <v/>
          </cell>
          <cell r="AU1872" t="str">
            <v>10</v>
          </cell>
          <cell r="AV1872" t="str">
            <v>10</v>
          </cell>
          <cell r="AW1872">
            <v>0</v>
          </cell>
          <cell r="AX1872">
            <v>0</v>
          </cell>
          <cell r="AY1872">
            <v>0</v>
          </cell>
          <cell r="AZ1872">
            <v>0</v>
          </cell>
          <cell r="BA1872">
            <v>0</v>
          </cell>
          <cell r="BD1872" t="str">
            <v/>
          </cell>
          <cell r="BE1872">
            <v>1</v>
          </cell>
          <cell r="BG1872" t="str">
            <v>1100</v>
          </cell>
        </row>
        <row r="1873">
          <cell r="B1873" t="str">
            <v>G372070206100100</v>
          </cell>
          <cell r="C1873" t="str">
            <v>37.香川県</v>
          </cell>
          <cell r="D1873" t="str">
            <v>207</v>
          </cell>
          <cell r="E1873" t="str">
            <v>東かがわ市</v>
          </cell>
          <cell r="F1873" t="str">
            <v>02</v>
          </cell>
          <cell r="G1873" t="str">
            <v>特環 単独</v>
          </cell>
          <cell r="H1873" t="str">
            <v>特定環境保全公共下水道</v>
          </cell>
          <cell r="I1873" t="str">
            <v>単独</v>
          </cell>
          <cell r="J1873" t="str">
            <v>001</v>
          </cell>
          <cell r="K1873" t="str">
            <v>新川・小松原浄化センター</v>
          </cell>
          <cell r="M1873" t="str">
            <v>1</v>
          </cell>
          <cell r="N1873" t="str">
            <v>1</v>
          </cell>
          <cell r="Q1873">
            <v>37410</v>
          </cell>
          <cell r="R1873" t="str">
            <v>平成</v>
          </cell>
          <cell r="S1873">
            <v>14</v>
          </cell>
          <cell r="T1873">
            <v>6</v>
          </cell>
          <cell r="AB1873">
            <v>1816</v>
          </cell>
          <cell r="AC1873" t="str">
            <v>東讃海域</v>
          </cell>
          <cell r="AD1873" t="str">
            <v>Ａ</v>
          </cell>
          <cell r="AE1873" t="str">
            <v>イ</v>
          </cell>
          <cell r="AF1873">
            <v>20</v>
          </cell>
          <cell r="AI1873" t="str">
            <v>大谷川</v>
          </cell>
          <cell r="AL1873" t="str">
            <v>湊川</v>
          </cell>
          <cell r="AM1873">
            <v>2</v>
          </cell>
          <cell r="AN1873">
            <v>2</v>
          </cell>
          <cell r="AO1873" t="str">
            <v>東かがわ市</v>
          </cell>
          <cell r="AQ1873" t="str">
            <v/>
          </cell>
          <cell r="AR1873" t="str">
            <v>回分式活性汚泥法</v>
          </cell>
          <cell r="AS1873" t="str">
            <v>3720702001</v>
          </cell>
          <cell r="AT1873" t="str">
            <v/>
          </cell>
          <cell r="AU1873" t="str">
            <v>10</v>
          </cell>
          <cell r="AV1873" t="str">
            <v>10</v>
          </cell>
          <cell r="AW1873">
            <v>0</v>
          </cell>
          <cell r="AX1873">
            <v>0</v>
          </cell>
          <cell r="AY1873">
            <v>0</v>
          </cell>
          <cell r="AZ1873">
            <v>0</v>
          </cell>
          <cell r="BA1873">
            <v>0</v>
          </cell>
          <cell r="BD1873" t="str">
            <v/>
          </cell>
          <cell r="BE1873">
            <v>1</v>
          </cell>
          <cell r="BG1873" t="str">
            <v>1100</v>
          </cell>
        </row>
        <row r="1874">
          <cell r="B1874" t="str">
            <v>G373640206100100</v>
          </cell>
          <cell r="C1874" t="str">
            <v>37.香川県</v>
          </cell>
          <cell r="D1874" t="str">
            <v>364</v>
          </cell>
          <cell r="E1874" t="str">
            <v>直島町</v>
          </cell>
          <cell r="F1874" t="str">
            <v>02</v>
          </cell>
          <cell r="G1874" t="str">
            <v>特環 単独</v>
          </cell>
          <cell r="H1874" t="str">
            <v>特定環境保全公共下水道</v>
          </cell>
          <cell r="I1874" t="str">
            <v>単独</v>
          </cell>
          <cell r="J1874" t="str">
            <v>001</v>
          </cell>
          <cell r="K1874" t="str">
            <v>直島町浄化センター</v>
          </cell>
          <cell r="M1874" t="str">
            <v>1</v>
          </cell>
          <cell r="N1874" t="str">
            <v>1</v>
          </cell>
          <cell r="P1874" t="str">
            <v>1</v>
          </cell>
          <cell r="Q1874">
            <v>36250</v>
          </cell>
          <cell r="R1874" t="str">
            <v>平成</v>
          </cell>
          <cell r="S1874">
            <v>11</v>
          </cell>
          <cell r="T1874">
            <v>3</v>
          </cell>
          <cell r="AB1874">
            <v>12000</v>
          </cell>
          <cell r="AC1874" t="str">
            <v>備讃瀬戸海域</v>
          </cell>
          <cell r="AD1874" t="str">
            <v>Ａ</v>
          </cell>
          <cell r="AE1874" t="str">
            <v>イ</v>
          </cell>
          <cell r="AF1874">
            <v>15</v>
          </cell>
          <cell r="AG1874">
            <v>20</v>
          </cell>
          <cell r="AH1874">
            <v>2.5</v>
          </cell>
          <cell r="AI1874" t="str">
            <v>瀬戸内海</v>
          </cell>
          <cell r="AQ1874" t="str">
            <v/>
          </cell>
          <cell r="AR1874" t="str">
            <v>オキシディションディッチ法</v>
          </cell>
          <cell r="AS1874" t="str">
            <v>3736402001</v>
          </cell>
          <cell r="AT1874" t="str">
            <v/>
          </cell>
          <cell r="AU1874" t="str">
            <v>10</v>
          </cell>
          <cell r="AV1874" t="str">
            <v>10</v>
          </cell>
          <cell r="AW1874">
            <v>1</v>
          </cell>
          <cell r="AX1874">
            <v>0</v>
          </cell>
          <cell r="AY1874">
            <v>0</v>
          </cell>
          <cell r="AZ1874">
            <v>0</v>
          </cell>
          <cell r="BA1874">
            <v>0</v>
          </cell>
          <cell r="BD1874" t="str">
            <v/>
          </cell>
          <cell r="BE1874">
            <v>1</v>
          </cell>
          <cell r="BG1874" t="str">
            <v>1101</v>
          </cell>
        </row>
        <row r="1875">
          <cell r="B1875" t="str">
            <v>G382010106100100</v>
          </cell>
          <cell r="C1875" t="str">
            <v>38.愛媛県</v>
          </cell>
          <cell r="D1875" t="str">
            <v>201</v>
          </cell>
          <cell r="E1875" t="str">
            <v>松山市</v>
          </cell>
          <cell r="F1875" t="str">
            <v>01</v>
          </cell>
          <cell r="G1875" t="str">
            <v>公共 単独</v>
          </cell>
          <cell r="H1875" t="str">
            <v>公共下水道</v>
          </cell>
          <cell r="I1875" t="str">
            <v>単独</v>
          </cell>
          <cell r="J1875" t="str">
            <v>001</v>
          </cell>
          <cell r="K1875" t="str">
            <v>中央浄化センター</v>
          </cell>
          <cell r="M1875" t="str">
            <v>1</v>
          </cell>
          <cell r="N1875" t="str">
            <v>1</v>
          </cell>
          <cell r="P1875" t="str">
            <v>1</v>
          </cell>
          <cell r="Q1875">
            <v>22828</v>
          </cell>
          <cell r="R1875" t="str">
            <v>昭和</v>
          </cell>
          <cell r="S1875">
            <v>37</v>
          </cell>
          <cell r="T1875">
            <v>7</v>
          </cell>
          <cell r="AB1875">
            <v>108000</v>
          </cell>
          <cell r="AC1875" t="str">
            <v>設定なし</v>
          </cell>
          <cell r="AF1875">
            <v>15</v>
          </cell>
          <cell r="AG1875">
            <v>20</v>
          </cell>
          <cell r="AH1875">
            <v>3</v>
          </cell>
          <cell r="AI1875" t="str">
            <v>中の川</v>
          </cell>
          <cell r="AJ1875" t="str">
            <v>宮前川</v>
          </cell>
          <cell r="AQ1875" t="str">
            <v/>
          </cell>
          <cell r="AR1875" t="str">
            <v>標準活性汚泥法</v>
          </cell>
          <cell r="AS1875" t="str">
            <v>3820101001</v>
          </cell>
          <cell r="AT1875" t="str">
            <v/>
          </cell>
          <cell r="AU1875" t="str">
            <v>10</v>
          </cell>
          <cell r="AV1875" t="str">
            <v>10</v>
          </cell>
          <cell r="AW1875">
            <v>1</v>
          </cell>
          <cell r="AX1875">
            <v>0</v>
          </cell>
          <cell r="AY1875">
            <v>0</v>
          </cell>
          <cell r="AZ1875">
            <v>0</v>
          </cell>
          <cell r="BA1875">
            <v>0</v>
          </cell>
          <cell r="BD1875" t="str">
            <v/>
          </cell>
          <cell r="BE1875">
            <v>1</v>
          </cell>
          <cell r="BG1875" t="str">
            <v>1101</v>
          </cell>
        </row>
        <row r="1876">
          <cell r="B1876" t="str">
            <v>G382010106100200</v>
          </cell>
          <cell r="C1876" t="str">
            <v>38.愛媛県</v>
          </cell>
          <cell r="D1876" t="str">
            <v>201</v>
          </cell>
          <cell r="E1876" t="str">
            <v>松山市</v>
          </cell>
          <cell r="F1876" t="str">
            <v>01</v>
          </cell>
          <cell r="G1876" t="str">
            <v>公共 単独</v>
          </cell>
          <cell r="H1876" t="str">
            <v>公共下水道</v>
          </cell>
          <cell r="I1876" t="str">
            <v>単独</v>
          </cell>
          <cell r="J1876" t="str">
            <v>002</v>
          </cell>
          <cell r="K1876" t="str">
            <v>北条浄化センター</v>
          </cell>
          <cell r="M1876" t="str">
            <v>1</v>
          </cell>
          <cell r="N1876" t="str">
            <v>1</v>
          </cell>
          <cell r="P1876" t="str">
            <v>1</v>
          </cell>
          <cell r="Q1876">
            <v>32203</v>
          </cell>
          <cell r="R1876" t="str">
            <v>昭和</v>
          </cell>
          <cell r="S1876">
            <v>63</v>
          </cell>
          <cell r="T1876">
            <v>3</v>
          </cell>
          <cell r="AB1876">
            <v>32800</v>
          </cell>
          <cell r="AC1876" t="str">
            <v>伊予灘</v>
          </cell>
          <cell r="AD1876" t="str">
            <v>Ａ</v>
          </cell>
          <cell r="AE1876" t="str">
            <v>イ</v>
          </cell>
          <cell r="AF1876">
            <v>15</v>
          </cell>
          <cell r="AG1876">
            <v>20</v>
          </cell>
          <cell r="AH1876">
            <v>3</v>
          </cell>
          <cell r="AI1876" t="str">
            <v>伊予灘</v>
          </cell>
          <cell r="AQ1876" t="str">
            <v/>
          </cell>
          <cell r="AR1876" t="str">
            <v>標準活性汚泥法</v>
          </cell>
          <cell r="AS1876" t="str">
            <v>3820101002</v>
          </cell>
          <cell r="AT1876" t="str">
            <v/>
          </cell>
          <cell r="AU1876" t="str">
            <v>10</v>
          </cell>
          <cell r="AV1876" t="str">
            <v>10</v>
          </cell>
          <cell r="AW1876">
            <v>1</v>
          </cell>
          <cell r="AX1876">
            <v>0</v>
          </cell>
          <cell r="AY1876">
            <v>0</v>
          </cell>
          <cell r="AZ1876">
            <v>0</v>
          </cell>
          <cell r="BA1876">
            <v>0</v>
          </cell>
          <cell r="BD1876" t="str">
            <v/>
          </cell>
          <cell r="BE1876">
            <v>1</v>
          </cell>
          <cell r="BG1876" t="str">
            <v>1101</v>
          </cell>
        </row>
        <row r="1877">
          <cell r="B1877" t="str">
            <v>G382010106100300</v>
          </cell>
          <cell r="C1877" t="str">
            <v>38.愛媛県</v>
          </cell>
          <cell r="D1877" t="str">
            <v>201</v>
          </cell>
          <cell r="E1877" t="str">
            <v>松山市</v>
          </cell>
          <cell r="F1877" t="str">
            <v>01</v>
          </cell>
          <cell r="G1877" t="str">
            <v>公共 単独</v>
          </cell>
          <cell r="H1877" t="str">
            <v>公共下水道</v>
          </cell>
          <cell r="I1877" t="str">
            <v>単独</v>
          </cell>
          <cell r="J1877" t="str">
            <v>003</v>
          </cell>
          <cell r="K1877" t="str">
            <v>西部浄化センター</v>
          </cell>
          <cell r="M1877" t="str">
            <v>1</v>
          </cell>
          <cell r="N1877" t="str">
            <v>1</v>
          </cell>
          <cell r="Q1877">
            <v>33725</v>
          </cell>
          <cell r="R1877" t="str">
            <v>平成</v>
          </cell>
          <cell r="S1877">
            <v>4</v>
          </cell>
          <cell r="T1877">
            <v>5</v>
          </cell>
          <cell r="AB1877">
            <v>141600</v>
          </cell>
          <cell r="AC1877" t="str">
            <v>伊予灘一般</v>
          </cell>
          <cell r="AD1877" t="str">
            <v>Ａ</v>
          </cell>
          <cell r="AE1877" t="str">
            <v>イ</v>
          </cell>
          <cell r="AF1877">
            <v>15</v>
          </cell>
          <cell r="AG1877">
            <v>20</v>
          </cell>
          <cell r="AH1877">
            <v>3</v>
          </cell>
          <cell r="AI1877" t="str">
            <v>伊予灘</v>
          </cell>
          <cell r="AQ1877" t="str">
            <v/>
          </cell>
          <cell r="AR1877" t="str">
            <v>標準活性汚泥法</v>
          </cell>
          <cell r="AS1877" t="str">
            <v>3820101003</v>
          </cell>
          <cell r="AT1877" t="str">
            <v/>
          </cell>
          <cell r="AU1877" t="str">
            <v>10</v>
          </cell>
          <cell r="AV1877" t="str">
            <v>10</v>
          </cell>
          <cell r="AW1877">
            <v>0</v>
          </cell>
          <cell r="AX1877">
            <v>0</v>
          </cell>
          <cell r="AY1877">
            <v>0</v>
          </cell>
          <cell r="AZ1877">
            <v>0</v>
          </cell>
          <cell r="BA1877">
            <v>0</v>
          </cell>
          <cell r="BD1877" t="str">
            <v/>
          </cell>
          <cell r="BE1877">
            <v>1</v>
          </cell>
          <cell r="BG1877" t="str">
            <v>1100</v>
          </cell>
        </row>
        <row r="1878">
          <cell r="B1878" t="str">
            <v>G382010106100400</v>
          </cell>
          <cell r="C1878" t="str">
            <v>38.愛媛県</v>
          </cell>
          <cell r="D1878" t="str">
            <v>201</v>
          </cell>
          <cell r="E1878" t="str">
            <v>松山市</v>
          </cell>
          <cell r="F1878" t="str">
            <v>01</v>
          </cell>
          <cell r="G1878" t="str">
            <v>公共 単独</v>
          </cell>
          <cell r="H1878" t="str">
            <v>公共下水道</v>
          </cell>
          <cell r="I1878" t="str">
            <v>単独</v>
          </cell>
          <cell r="J1878" t="str">
            <v>004</v>
          </cell>
          <cell r="K1878" t="str">
            <v>北部浄化センター</v>
          </cell>
          <cell r="M1878" t="str">
            <v>1</v>
          </cell>
          <cell r="N1878" t="str">
            <v>1</v>
          </cell>
          <cell r="Q1878">
            <v>38626</v>
          </cell>
          <cell r="R1878" t="str">
            <v>平成</v>
          </cell>
          <cell r="S1878">
            <v>17</v>
          </cell>
          <cell r="T1878">
            <v>10</v>
          </cell>
          <cell r="AB1878">
            <v>60500</v>
          </cell>
          <cell r="AC1878" t="str">
            <v>和気港</v>
          </cell>
          <cell r="AD1878" t="str">
            <v>Ｂ</v>
          </cell>
          <cell r="AE1878" t="str">
            <v>ロ</v>
          </cell>
          <cell r="AF1878">
            <v>6</v>
          </cell>
          <cell r="AG1878">
            <v>10</v>
          </cell>
          <cell r="AH1878">
            <v>1</v>
          </cell>
          <cell r="AI1878" t="str">
            <v>拝志川</v>
          </cell>
          <cell r="AJ1878" t="str">
            <v>大川</v>
          </cell>
          <cell r="AQ1878" t="str">
            <v/>
          </cell>
          <cell r="AR1878" t="str">
            <v>ステップ流入式多段硝化脱窒法</v>
          </cell>
          <cell r="AS1878" t="str">
            <v>3820101004</v>
          </cell>
          <cell r="AT1878" t="str">
            <v/>
          </cell>
          <cell r="AU1878" t="str">
            <v>10</v>
          </cell>
          <cell r="AV1878" t="str">
            <v>10</v>
          </cell>
          <cell r="AW1878">
            <v>0</v>
          </cell>
          <cell r="AX1878">
            <v>0</v>
          </cell>
          <cell r="AY1878">
            <v>0</v>
          </cell>
          <cell r="AZ1878">
            <v>0</v>
          </cell>
          <cell r="BA1878">
            <v>0</v>
          </cell>
          <cell r="BD1878" t="str">
            <v/>
          </cell>
          <cell r="BE1878">
            <v>1</v>
          </cell>
          <cell r="BG1878" t="str">
            <v>1100</v>
          </cell>
        </row>
        <row r="1879">
          <cell r="B1879" t="str">
            <v>G382020106100100</v>
          </cell>
          <cell r="C1879" t="str">
            <v>38.愛媛県</v>
          </cell>
          <cell r="D1879" t="str">
            <v>202</v>
          </cell>
          <cell r="E1879" t="str">
            <v>今治市</v>
          </cell>
          <cell r="F1879" t="str">
            <v>01</v>
          </cell>
          <cell r="G1879" t="str">
            <v>公共 単独</v>
          </cell>
          <cell r="H1879" t="str">
            <v>公共下水道</v>
          </cell>
          <cell r="I1879" t="str">
            <v>単独</v>
          </cell>
          <cell r="J1879" t="str">
            <v>001</v>
          </cell>
          <cell r="K1879" t="str">
            <v>今治下水浄化センター</v>
          </cell>
          <cell r="M1879" t="str">
            <v>1</v>
          </cell>
          <cell r="N1879" t="str">
            <v>1</v>
          </cell>
          <cell r="Q1879">
            <v>27881</v>
          </cell>
          <cell r="R1879" t="str">
            <v>昭和</v>
          </cell>
          <cell r="S1879">
            <v>51</v>
          </cell>
          <cell r="T1879">
            <v>5</v>
          </cell>
          <cell r="AB1879">
            <v>33077</v>
          </cell>
          <cell r="AC1879" t="str">
            <v>燧灘北西部</v>
          </cell>
          <cell r="AD1879" t="str">
            <v>Ａ</v>
          </cell>
          <cell r="AE1879" t="str">
            <v>イ</v>
          </cell>
          <cell r="AF1879">
            <v>15</v>
          </cell>
          <cell r="AG1879">
            <v>20</v>
          </cell>
          <cell r="AH1879">
            <v>3</v>
          </cell>
          <cell r="AI1879" t="str">
            <v>有津屋川</v>
          </cell>
          <cell r="AQ1879" t="str">
            <v/>
          </cell>
          <cell r="AR1879" t="str">
            <v>標準活性汚泥法</v>
          </cell>
          <cell r="AS1879" t="str">
            <v>3820201001</v>
          </cell>
          <cell r="AT1879" t="str">
            <v/>
          </cell>
          <cell r="AU1879" t="str">
            <v>10</v>
          </cell>
          <cell r="AV1879" t="str">
            <v>10</v>
          </cell>
          <cell r="AW1879">
            <v>0</v>
          </cell>
          <cell r="AX1879">
            <v>0</v>
          </cell>
          <cell r="AY1879">
            <v>0</v>
          </cell>
          <cell r="AZ1879">
            <v>0</v>
          </cell>
          <cell r="BA1879">
            <v>0</v>
          </cell>
          <cell r="BD1879" t="str">
            <v/>
          </cell>
          <cell r="BE1879">
            <v>1</v>
          </cell>
          <cell r="BG1879" t="str">
            <v>1100</v>
          </cell>
        </row>
        <row r="1880">
          <cell r="B1880" t="str">
            <v>G382020106100200</v>
          </cell>
          <cell r="C1880" t="str">
            <v>38.愛媛県</v>
          </cell>
          <cell r="D1880" t="str">
            <v>202</v>
          </cell>
          <cell r="E1880" t="str">
            <v>今治市</v>
          </cell>
          <cell r="F1880" t="str">
            <v>01</v>
          </cell>
          <cell r="G1880" t="str">
            <v>公共 単独</v>
          </cell>
          <cell r="H1880" t="str">
            <v>公共下水道</v>
          </cell>
          <cell r="I1880" t="str">
            <v>単独</v>
          </cell>
          <cell r="J1880" t="str">
            <v>002</v>
          </cell>
          <cell r="K1880" t="str">
            <v>北部終末処理場</v>
          </cell>
          <cell r="M1880" t="str">
            <v>1</v>
          </cell>
          <cell r="N1880" t="str">
            <v>1</v>
          </cell>
          <cell r="Q1880">
            <v>33298</v>
          </cell>
          <cell r="R1880" t="str">
            <v>平成</v>
          </cell>
          <cell r="S1880">
            <v>3</v>
          </cell>
          <cell r="T1880">
            <v>3</v>
          </cell>
          <cell r="AB1880">
            <v>16160</v>
          </cell>
          <cell r="AC1880" t="str">
            <v>燧灘北西部</v>
          </cell>
          <cell r="AD1880" t="str">
            <v>Ａ</v>
          </cell>
          <cell r="AE1880" t="str">
            <v>イ</v>
          </cell>
          <cell r="AF1880">
            <v>15</v>
          </cell>
          <cell r="AG1880">
            <v>20</v>
          </cell>
          <cell r="AH1880">
            <v>3</v>
          </cell>
          <cell r="AI1880" t="str">
            <v>燧灘北西部</v>
          </cell>
          <cell r="AQ1880" t="str">
            <v/>
          </cell>
          <cell r="AR1880" t="str">
            <v>標準活性汚泥法</v>
          </cell>
          <cell r="AS1880" t="str">
            <v>3820201002</v>
          </cell>
          <cell r="AT1880" t="str">
            <v/>
          </cell>
          <cell r="AU1880" t="str">
            <v>10</v>
          </cell>
          <cell r="AV1880" t="str">
            <v>10</v>
          </cell>
          <cell r="AW1880">
            <v>0</v>
          </cell>
          <cell r="AX1880">
            <v>0</v>
          </cell>
          <cell r="AY1880">
            <v>0</v>
          </cell>
          <cell r="AZ1880">
            <v>0</v>
          </cell>
          <cell r="BA1880">
            <v>0</v>
          </cell>
          <cell r="BD1880" t="str">
            <v/>
          </cell>
          <cell r="BE1880">
            <v>1</v>
          </cell>
          <cell r="BG1880" t="str">
            <v>1100</v>
          </cell>
        </row>
        <row r="1881">
          <cell r="B1881" t="str">
            <v>G382020106100300</v>
          </cell>
          <cell r="C1881" t="str">
            <v>38.愛媛県</v>
          </cell>
          <cell r="D1881" t="str">
            <v>202</v>
          </cell>
          <cell r="E1881" t="str">
            <v>今治市</v>
          </cell>
          <cell r="F1881" t="str">
            <v>01</v>
          </cell>
          <cell r="G1881" t="str">
            <v>公共 単独</v>
          </cell>
          <cell r="H1881" t="str">
            <v>公共下水道</v>
          </cell>
          <cell r="I1881" t="str">
            <v>単独</v>
          </cell>
          <cell r="J1881" t="str">
            <v>003</v>
          </cell>
          <cell r="K1881" t="str">
            <v>大西水処理センター</v>
          </cell>
          <cell r="M1881" t="str">
            <v>1</v>
          </cell>
          <cell r="N1881" t="str">
            <v>1</v>
          </cell>
          <cell r="Q1881">
            <v>39203</v>
          </cell>
          <cell r="R1881" t="str">
            <v>平成</v>
          </cell>
          <cell r="S1881">
            <v>19</v>
          </cell>
          <cell r="T1881">
            <v>5</v>
          </cell>
          <cell r="AB1881">
            <v>17300</v>
          </cell>
          <cell r="AC1881" t="str">
            <v>伊予灘一般</v>
          </cell>
          <cell r="AD1881" t="str">
            <v>Ａ</v>
          </cell>
          <cell r="AE1881" t="str">
            <v>イ</v>
          </cell>
          <cell r="AF1881">
            <v>15</v>
          </cell>
          <cell r="AG1881">
            <v>15</v>
          </cell>
          <cell r="AH1881">
            <v>2</v>
          </cell>
          <cell r="AI1881" t="str">
            <v>斎灘</v>
          </cell>
          <cell r="AQ1881" t="str">
            <v/>
          </cell>
          <cell r="AR1881" t="str">
            <v>オキシディションディッチ法</v>
          </cell>
          <cell r="AS1881" t="str">
            <v>3820201003</v>
          </cell>
          <cell r="AT1881" t="str">
            <v/>
          </cell>
          <cell r="AU1881" t="str">
            <v>10</v>
          </cell>
          <cell r="AV1881" t="str">
            <v>10</v>
          </cell>
          <cell r="AW1881">
            <v>0</v>
          </cell>
          <cell r="AX1881">
            <v>0</v>
          </cell>
          <cell r="AY1881">
            <v>0</v>
          </cell>
          <cell r="AZ1881">
            <v>0</v>
          </cell>
          <cell r="BA1881">
            <v>0</v>
          </cell>
          <cell r="BD1881" t="str">
            <v/>
          </cell>
          <cell r="BE1881">
            <v>1</v>
          </cell>
          <cell r="BG1881" t="str">
            <v>1100</v>
          </cell>
        </row>
        <row r="1882">
          <cell r="B1882" t="str">
            <v>G382020206100400</v>
          </cell>
          <cell r="C1882" t="str">
            <v>38.愛媛県</v>
          </cell>
          <cell r="D1882" t="str">
            <v>202</v>
          </cell>
          <cell r="E1882" t="str">
            <v>今治市</v>
          </cell>
          <cell r="F1882" t="str">
            <v>02</v>
          </cell>
          <cell r="G1882" t="str">
            <v>特環 単独</v>
          </cell>
          <cell r="H1882" t="str">
            <v>特定環境保全公共下水道</v>
          </cell>
          <cell r="I1882" t="str">
            <v>単独</v>
          </cell>
          <cell r="J1882" t="str">
            <v>004</v>
          </cell>
          <cell r="K1882" t="str">
            <v>塔ｹ谷下水処理場</v>
          </cell>
          <cell r="M1882" t="str">
            <v>1</v>
          </cell>
          <cell r="N1882" t="str">
            <v>1</v>
          </cell>
          <cell r="Q1882">
            <v>28216</v>
          </cell>
          <cell r="R1882" t="str">
            <v>昭和</v>
          </cell>
          <cell r="S1882">
            <v>52</v>
          </cell>
          <cell r="T1882">
            <v>4</v>
          </cell>
          <cell r="AB1882">
            <v>2375</v>
          </cell>
          <cell r="AC1882" t="str">
            <v>燧灘北西部</v>
          </cell>
          <cell r="AD1882" t="str">
            <v>Ａ</v>
          </cell>
          <cell r="AE1882" t="str">
            <v>イ</v>
          </cell>
          <cell r="AF1882">
            <v>15</v>
          </cell>
          <cell r="AG1882">
            <v>20</v>
          </cell>
          <cell r="AH1882">
            <v>3</v>
          </cell>
          <cell r="AI1882" t="str">
            <v>普通河川</v>
          </cell>
          <cell r="AQ1882" t="str">
            <v/>
          </cell>
          <cell r="AR1882" t="str">
            <v>長時間エアレーション法</v>
          </cell>
          <cell r="AS1882" t="str">
            <v>3820202004</v>
          </cell>
          <cell r="AT1882" t="str">
            <v/>
          </cell>
          <cell r="AU1882" t="str">
            <v>10</v>
          </cell>
          <cell r="AV1882" t="str">
            <v>10</v>
          </cell>
          <cell r="AW1882">
            <v>0</v>
          </cell>
          <cell r="AX1882">
            <v>0</v>
          </cell>
          <cell r="AY1882">
            <v>0</v>
          </cell>
          <cell r="AZ1882">
            <v>0</v>
          </cell>
          <cell r="BA1882">
            <v>0</v>
          </cell>
          <cell r="BD1882" t="str">
            <v/>
          </cell>
          <cell r="BE1882">
            <v>1</v>
          </cell>
          <cell r="BG1882" t="str">
            <v>1100</v>
          </cell>
        </row>
        <row r="1883">
          <cell r="B1883" t="str">
            <v>G382020206100500</v>
          </cell>
          <cell r="C1883" t="str">
            <v>38.愛媛県</v>
          </cell>
          <cell r="D1883" t="str">
            <v>202</v>
          </cell>
          <cell r="E1883" t="str">
            <v>今治市</v>
          </cell>
          <cell r="F1883" t="str">
            <v>02</v>
          </cell>
          <cell r="G1883" t="str">
            <v>特環 単独</v>
          </cell>
          <cell r="H1883" t="str">
            <v>特定環境保全公共下水道</v>
          </cell>
          <cell r="I1883" t="str">
            <v>単独</v>
          </cell>
          <cell r="J1883" t="str">
            <v>005</v>
          </cell>
          <cell r="K1883" t="str">
            <v>宮浦浄化センター</v>
          </cell>
          <cell r="M1883" t="str">
            <v>1</v>
          </cell>
          <cell r="N1883" t="str">
            <v>1</v>
          </cell>
          <cell r="Q1883">
            <v>35490</v>
          </cell>
          <cell r="R1883" t="str">
            <v>平成</v>
          </cell>
          <cell r="S1883">
            <v>9</v>
          </cell>
          <cell r="T1883">
            <v>3</v>
          </cell>
          <cell r="AB1883">
            <v>4600</v>
          </cell>
          <cell r="AC1883" t="str">
            <v>燧灘北西部</v>
          </cell>
          <cell r="AD1883" t="str">
            <v>Ａ</v>
          </cell>
          <cell r="AE1883" t="str">
            <v>イ</v>
          </cell>
          <cell r="AI1883" t="str">
            <v>宮浦湾</v>
          </cell>
          <cell r="AQ1883" t="str">
            <v/>
          </cell>
          <cell r="AR1883" t="str">
            <v>オキシディションディッチ法</v>
          </cell>
          <cell r="AS1883" t="str">
            <v>3820202005</v>
          </cell>
          <cell r="AT1883" t="str">
            <v/>
          </cell>
          <cell r="AU1883" t="str">
            <v>10</v>
          </cell>
          <cell r="AV1883" t="str">
            <v>10</v>
          </cell>
          <cell r="AW1883">
            <v>0</v>
          </cell>
          <cell r="AX1883">
            <v>0</v>
          </cell>
          <cell r="AY1883">
            <v>0</v>
          </cell>
          <cell r="AZ1883">
            <v>0</v>
          </cell>
          <cell r="BA1883">
            <v>0</v>
          </cell>
          <cell r="BD1883" t="str">
            <v/>
          </cell>
          <cell r="BE1883">
            <v>1</v>
          </cell>
          <cell r="BG1883" t="str">
            <v>1100</v>
          </cell>
        </row>
        <row r="1884">
          <cell r="B1884" t="str">
            <v>G382020206100600</v>
          </cell>
          <cell r="C1884" t="str">
            <v>38.愛媛県</v>
          </cell>
          <cell r="D1884" t="str">
            <v>202</v>
          </cell>
          <cell r="E1884" t="str">
            <v>今治市</v>
          </cell>
          <cell r="F1884" t="str">
            <v>02</v>
          </cell>
          <cell r="G1884" t="str">
            <v>特環 単独</v>
          </cell>
          <cell r="H1884" t="str">
            <v>特定環境保全公共下水道</v>
          </cell>
          <cell r="I1884" t="str">
            <v>単独</v>
          </cell>
          <cell r="J1884" t="str">
            <v>006</v>
          </cell>
          <cell r="K1884" t="str">
            <v>吉海浄化センター</v>
          </cell>
          <cell r="M1884" t="str">
            <v>1</v>
          </cell>
          <cell r="N1884" t="str">
            <v>1</v>
          </cell>
          <cell r="Q1884">
            <v>35855</v>
          </cell>
          <cell r="R1884" t="str">
            <v>平成</v>
          </cell>
          <cell r="S1884">
            <v>10</v>
          </cell>
          <cell r="T1884">
            <v>3</v>
          </cell>
          <cell r="AB1884">
            <v>7145</v>
          </cell>
          <cell r="AC1884" t="str">
            <v>燧灘北西部</v>
          </cell>
          <cell r="AD1884" t="str">
            <v>Ａ</v>
          </cell>
          <cell r="AE1884" t="str">
            <v>イ</v>
          </cell>
          <cell r="AI1884" t="str">
            <v>瀬戸内海</v>
          </cell>
          <cell r="AQ1884" t="str">
            <v/>
          </cell>
          <cell r="AR1884" t="str">
            <v>オキシディションディッチ法</v>
          </cell>
          <cell r="AS1884" t="str">
            <v>3820202006</v>
          </cell>
          <cell r="AT1884" t="str">
            <v/>
          </cell>
          <cell r="AU1884" t="str">
            <v>10</v>
          </cell>
          <cell r="AV1884" t="str">
            <v>10</v>
          </cell>
          <cell r="AW1884">
            <v>0</v>
          </cell>
          <cell r="AX1884">
            <v>0</v>
          </cell>
          <cell r="AY1884">
            <v>0</v>
          </cell>
          <cell r="AZ1884">
            <v>0</v>
          </cell>
          <cell r="BA1884">
            <v>0</v>
          </cell>
          <cell r="BD1884" t="str">
            <v/>
          </cell>
          <cell r="BE1884">
            <v>1</v>
          </cell>
          <cell r="BG1884" t="str">
            <v>1100</v>
          </cell>
        </row>
        <row r="1885">
          <cell r="B1885" t="str">
            <v>G382020206100700</v>
          </cell>
          <cell r="C1885" t="str">
            <v>38.愛媛県</v>
          </cell>
          <cell r="D1885" t="str">
            <v>202</v>
          </cell>
          <cell r="E1885" t="str">
            <v>今治市</v>
          </cell>
          <cell r="F1885" t="str">
            <v>02</v>
          </cell>
          <cell r="G1885" t="str">
            <v>特環 単独</v>
          </cell>
          <cell r="H1885" t="str">
            <v>特定環境保全公共下水道</v>
          </cell>
          <cell r="I1885" t="str">
            <v>単独</v>
          </cell>
          <cell r="J1885" t="str">
            <v>007</v>
          </cell>
          <cell r="K1885" t="str">
            <v>小部浄化センター</v>
          </cell>
          <cell r="M1885" t="str">
            <v>1</v>
          </cell>
          <cell r="N1885" t="str">
            <v>1</v>
          </cell>
          <cell r="Q1885">
            <v>36312</v>
          </cell>
          <cell r="R1885" t="str">
            <v>平成</v>
          </cell>
          <cell r="S1885">
            <v>11</v>
          </cell>
          <cell r="T1885">
            <v>6</v>
          </cell>
          <cell r="AB1885">
            <v>3299</v>
          </cell>
          <cell r="AC1885" t="str">
            <v>伊予灘一般</v>
          </cell>
          <cell r="AD1885" t="str">
            <v>Ａ</v>
          </cell>
          <cell r="AE1885" t="str">
            <v>イ</v>
          </cell>
          <cell r="AI1885" t="str">
            <v>伊予灘</v>
          </cell>
          <cell r="AQ1885" t="str">
            <v/>
          </cell>
          <cell r="AR1885" t="str">
            <v>オキシディションディッチ法</v>
          </cell>
          <cell r="AS1885" t="str">
            <v>3820202007</v>
          </cell>
          <cell r="AT1885" t="str">
            <v/>
          </cell>
          <cell r="AU1885" t="str">
            <v>10</v>
          </cell>
          <cell r="AV1885" t="str">
            <v>10</v>
          </cell>
          <cell r="AW1885">
            <v>0</v>
          </cell>
          <cell r="AX1885">
            <v>0</v>
          </cell>
          <cell r="AY1885">
            <v>0</v>
          </cell>
          <cell r="AZ1885">
            <v>0</v>
          </cell>
          <cell r="BA1885">
            <v>0</v>
          </cell>
          <cell r="BD1885" t="str">
            <v/>
          </cell>
          <cell r="BE1885">
            <v>1</v>
          </cell>
          <cell r="BG1885" t="str">
            <v>1100</v>
          </cell>
        </row>
        <row r="1886">
          <cell r="B1886" t="str">
            <v>G382020206100800</v>
          </cell>
          <cell r="C1886" t="str">
            <v>38.愛媛県</v>
          </cell>
          <cell r="D1886" t="str">
            <v>202</v>
          </cell>
          <cell r="E1886" t="str">
            <v>今治市</v>
          </cell>
          <cell r="F1886" t="str">
            <v>02</v>
          </cell>
          <cell r="G1886" t="str">
            <v>特環 単独</v>
          </cell>
          <cell r="H1886" t="str">
            <v>特定環境保全公共下水道</v>
          </cell>
          <cell r="I1886" t="str">
            <v>単独</v>
          </cell>
          <cell r="J1886" t="str">
            <v>008</v>
          </cell>
          <cell r="K1886" t="str">
            <v>井口浄化センター</v>
          </cell>
          <cell r="M1886" t="str">
            <v>1</v>
          </cell>
          <cell r="N1886" t="str">
            <v>1</v>
          </cell>
          <cell r="P1886" t="str">
            <v>1</v>
          </cell>
          <cell r="Q1886">
            <v>37681</v>
          </cell>
          <cell r="R1886" t="str">
            <v>平成</v>
          </cell>
          <cell r="S1886">
            <v>15</v>
          </cell>
          <cell r="T1886">
            <v>3</v>
          </cell>
          <cell r="AB1886">
            <v>4600</v>
          </cell>
          <cell r="AC1886" t="str">
            <v>燧灘北西部</v>
          </cell>
          <cell r="AD1886" t="str">
            <v>Ａ</v>
          </cell>
          <cell r="AE1886" t="str">
            <v>イ</v>
          </cell>
          <cell r="AI1886" t="str">
            <v>瀬戸内海</v>
          </cell>
          <cell r="AQ1886" t="str">
            <v/>
          </cell>
          <cell r="AR1886" t="str">
            <v>オキシディションディッチ法</v>
          </cell>
          <cell r="AS1886" t="str">
            <v>3820202008</v>
          </cell>
          <cell r="AT1886" t="str">
            <v/>
          </cell>
          <cell r="AU1886" t="str">
            <v>10</v>
          </cell>
          <cell r="AV1886" t="str">
            <v>10</v>
          </cell>
          <cell r="AW1886">
            <v>1</v>
          </cell>
          <cell r="AX1886">
            <v>0</v>
          </cell>
          <cell r="AY1886">
            <v>0</v>
          </cell>
          <cell r="AZ1886">
            <v>0</v>
          </cell>
          <cell r="BA1886">
            <v>0</v>
          </cell>
          <cell r="BD1886" t="str">
            <v/>
          </cell>
          <cell r="BE1886">
            <v>1</v>
          </cell>
          <cell r="BG1886" t="str">
            <v>1101</v>
          </cell>
        </row>
        <row r="1887">
          <cell r="B1887" t="str">
            <v>G382020206100900</v>
          </cell>
          <cell r="C1887" t="str">
            <v>38.愛媛県</v>
          </cell>
          <cell r="D1887" t="str">
            <v>202</v>
          </cell>
          <cell r="E1887" t="str">
            <v>今治市</v>
          </cell>
          <cell r="F1887" t="str">
            <v>02</v>
          </cell>
          <cell r="G1887" t="str">
            <v>特環 単独</v>
          </cell>
          <cell r="H1887" t="str">
            <v>特定環境保全公共下水道</v>
          </cell>
          <cell r="I1887" t="str">
            <v>単独</v>
          </cell>
          <cell r="J1887" t="str">
            <v>009</v>
          </cell>
          <cell r="K1887" t="str">
            <v>伯方浄化センター</v>
          </cell>
          <cell r="M1887" t="str">
            <v>1</v>
          </cell>
          <cell r="N1887" t="str">
            <v>1</v>
          </cell>
          <cell r="P1887" t="str">
            <v>1</v>
          </cell>
          <cell r="Q1887">
            <v>39203</v>
          </cell>
          <cell r="R1887" t="str">
            <v>平成</v>
          </cell>
          <cell r="S1887">
            <v>19</v>
          </cell>
          <cell r="T1887">
            <v>5</v>
          </cell>
          <cell r="AB1887">
            <v>9770</v>
          </cell>
          <cell r="AC1887" t="str">
            <v>燧灘北西部</v>
          </cell>
          <cell r="AD1887" t="str">
            <v>Ａ</v>
          </cell>
          <cell r="AE1887" t="str">
            <v>イ</v>
          </cell>
          <cell r="AF1887">
            <v>15</v>
          </cell>
          <cell r="AG1887">
            <v>20</v>
          </cell>
          <cell r="AH1887">
            <v>3</v>
          </cell>
          <cell r="AI1887" t="str">
            <v>伯方港</v>
          </cell>
          <cell r="AQ1887" t="str">
            <v/>
          </cell>
          <cell r="AR1887" t="str">
            <v>オキシディションディッチ法</v>
          </cell>
          <cell r="AS1887" t="str">
            <v>3820202009</v>
          </cell>
          <cell r="AT1887" t="str">
            <v/>
          </cell>
          <cell r="AU1887" t="str">
            <v>10</v>
          </cell>
          <cell r="AV1887" t="str">
            <v>10</v>
          </cell>
          <cell r="AW1887">
            <v>1</v>
          </cell>
          <cell r="AX1887">
            <v>0</v>
          </cell>
          <cell r="AY1887">
            <v>0</v>
          </cell>
          <cell r="AZ1887">
            <v>0</v>
          </cell>
          <cell r="BA1887">
            <v>0</v>
          </cell>
          <cell r="BD1887" t="str">
            <v/>
          </cell>
          <cell r="BE1887">
            <v>1</v>
          </cell>
          <cell r="BG1887" t="str">
            <v>1101</v>
          </cell>
        </row>
        <row r="1888">
          <cell r="B1888" t="str">
            <v>G382030106100100</v>
          </cell>
          <cell r="C1888" t="str">
            <v>38.愛媛県</v>
          </cell>
          <cell r="D1888" t="str">
            <v>203</v>
          </cell>
          <cell r="E1888" t="str">
            <v>宇和島市</v>
          </cell>
          <cell r="F1888" t="str">
            <v>01</v>
          </cell>
          <cell r="G1888" t="str">
            <v>公共 単独</v>
          </cell>
          <cell r="H1888" t="str">
            <v>公共下水道</v>
          </cell>
          <cell r="I1888" t="str">
            <v>単独</v>
          </cell>
          <cell r="J1888" t="str">
            <v>001</v>
          </cell>
          <cell r="K1888" t="str">
            <v>宇和島市浄化センター</v>
          </cell>
          <cell r="M1888" t="str">
            <v>1</v>
          </cell>
          <cell r="N1888" t="str">
            <v>1</v>
          </cell>
          <cell r="Q1888">
            <v>35855</v>
          </cell>
          <cell r="R1888" t="str">
            <v>平成</v>
          </cell>
          <cell r="S1888">
            <v>10</v>
          </cell>
          <cell r="T1888">
            <v>3</v>
          </cell>
          <cell r="AB1888">
            <v>28400</v>
          </cell>
          <cell r="AC1888" t="str">
            <v>宇和島海域</v>
          </cell>
          <cell r="AD1888" t="str">
            <v>Ｂ</v>
          </cell>
          <cell r="AE1888" t="str">
            <v>ロ</v>
          </cell>
          <cell r="AF1888">
            <v>15</v>
          </cell>
          <cell r="AI1888" t="str">
            <v>宇和島港</v>
          </cell>
          <cell r="AL1888" t="str">
            <v>須賀川ダム</v>
          </cell>
          <cell r="AM1888">
            <v>4</v>
          </cell>
          <cell r="AO1888" t="str">
            <v>宇和島市</v>
          </cell>
          <cell r="AQ1888" t="str">
            <v/>
          </cell>
          <cell r="AR1888" t="str">
            <v>標準活性汚泥法</v>
          </cell>
          <cell r="AS1888" t="str">
            <v>3820301001</v>
          </cell>
          <cell r="AT1888" t="str">
            <v/>
          </cell>
          <cell r="AU1888" t="str">
            <v>10</v>
          </cell>
          <cell r="AV1888" t="str">
            <v>10</v>
          </cell>
          <cell r="AW1888">
            <v>0</v>
          </cell>
          <cell r="AX1888">
            <v>0</v>
          </cell>
          <cell r="AY1888">
            <v>0</v>
          </cell>
          <cell r="AZ1888">
            <v>0</v>
          </cell>
          <cell r="BA1888">
            <v>0</v>
          </cell>
          <cell r="BD1888" t="str">
            <v/>
          </cell>
          <cell r="BE1888">
            <v>1</v>
          </cell>
          <cell r="BG1888" t="str">
            <v>1100</v>
          </cell>
        </row>
        <row r="1889">
          <cell r="B1889" t="str">
            <v>G382040106100100</v>
          </cell>
          <cell r="C1889" t="str">
            <v>38.愛媛県</v>
          </cell>
          <cell r="D1889" t="str">
            <v>204</v>
          </cell>
          <cell r="E1889" t="str">
            <v>八幡浜市</v>
          </cell>
          <cell r="F1889" t="str">
            <v>01</v>
          </cell>
          <cell r="G1889" t="str">
            <v>公共 単独</v>
          </cell>
          <cell r="H1889" t="str">
            <v>公共下水道</v>
          </cell>
          <cell r="I1889" t="str">
            <v>単独</v>
          </cell>
          <cell r="J1889" t="str">
            <v>001</v>
          </cell>
          <cell r="K1889" t="str">
            <v>八幡浜浄化センター</v>
          </cell>
          <cell r="M1889" t="str">
            <v>1</v>
          </cell>
          <cell r="N1889" t="str">
            <v>1</v>
          </cell>
          <cell r="Q1889">
            <v>31107</v>
          </cell>
          <cell r="R1889" t="str">
            <v>昭和</v>
          </cell>
          <cell r="S1889">
            <v>60</v>
          </cell>
          <cell r="T1889">
            <v>3</v>
          </cell>
          <cell r="AB1889">
            <v>20100</v>
          </cell>
          <cell r="AC1889" t="str">
            <v>宇和海</v>
          </cell>
          <cell r="AD1889" t="str">
            <v>Ｂ</v>
          </cell>
          <cell r="AE1889" t="str">
            <v>ロ</v>
          </cell>
          <cell r="AF1889">
            <v>15</v>
          </cell>
          <cell r="AG1889">
            <v>20</v>
          </cell>
          <cell r="AH1889">
            <v>2</v>
          </cell>
          <cell r="AI1889" t="str">
            <v>宇和海</v>
          </cell>
          <cell r="AQ1889" t="str">
            <v/>
          </cell>
          <cell r="AR1889" t="str">
            <v>標準活性汚泥法</v>
          </cell>
          <cell r="AS1889" t="str">
            <v>3820401001</v>
          </cell>
          <cell r="AT1889" t="str">
            <v/>
          </cell>
          <cell r="AU1889" t="str">
            <v>10</v>
          </cell>
          <cell r="AV1889" t="str">
            <v>10</v>
          </cell>
          <cell r="AW1889">
            <v>0</v>
          </cell>
          <cell r="AX1889">
            <v>0</v>
          </cell>
          <cell r="AY1889">
            <v>0</v>
          </cell>
          <cell r="AZ1889">
            <v>0</v>
          </cell>
          <cell r="BA1889">
            <v>0</v>
          </cell>
          <cell r="BD1889" t="str">
            <v/>
          </cell>
          <cell r="BE1889">
            <v>1</v>
          </cell>
          <cell r="BG1889" t="str">
            <v>1100</v>
          </cell>
        </row>
        <row r="1890">
          <cell r="B1890" t="str">
            <v>G382040106100200</v>
          </cell>
          <cell r="C1890" t="str">
            <v>38.愛媛県</v>
          </cell>
          <cell r="D1890" t="str">
            <v>204</v>
          </cell>
          <cell r="E1890" t="str">
            <v>八幡浜市</v>
          </cell>
          <cell r="F1890" t="str">
            <v>01</v>
          </cell>
          <cell r="G1890" t="str">
            <v>公共 単独</v>
          </cell>
          <cell r="H1890" t="str">
            <v>公共下水道</v>
          </cell>
          <cell r="I1890" t="str">
            <v>単独</v>
          </cell>
          <cell r="J1890" t="str">
            <v>002</v>
          </cell>
          <cell r="K1890" t="str">
            <v>保内浄化センター</v>
          </cell>
          <cell r="M1890" t="str">
            <v>1</v>
          </cell>
          <cell r="N1890" t="str">
            <v>1</v>
          </cell>
          <cell r="Q1890">
            <v>38808</v>
          </cell>
          <cell r="R1890" t="str">
            <v>平成</v>
          </cell>
          <cell r="S1890">
            <v>18</v>
          </cell>
          <cell r="T1890">
            <v>4</v>
          </cell>
          <cell r="AB1890">
            <v>4600</v>
          </cell>
          <cell r="AC1890" t="str">
            <v>宇和海</v>
          </cell>
          <cell r="AD1890" t="str">
            <v>Ａ</v>
          </cell>
          <cell r="AE1890" t="str">
            <v>イ</v>
          </cell>
          <cell r="AF1890">
            <v>15</v>
          </cell>
          <cell r="AG1890">
            <v>20</v>
          </cell>
          <cell r="AH1890">
            <v>2</v>
          </cell>
          <cell r="AI1890" t="str">
            <v>宇和海</v>
          </cell>
          <cell r="AQ1890" t="str">
            <v/>
          </cell>
          <cell r="AR1890" t="str">
            <v>標準活性汚泥法</v>
          </cell>
          <cell r="AS1890" t="str">
            <v>3820401002</v>
          </cell>
          <cell r="AT1890" t="str">
            <v/>
          </cell>
          <cell r="AU1890" t="str">
            <v>10</v>
          </cell>
          <cell r="AV1890" t="str">
            <v>10</v>
          </cell>
          <cell r="AW1890">
            <v>0</v>
          </cell>
          <cell r="AX1890">
            <v>0</v>
          </cell>
          <cell r="AY1890">
            <v>0</v>
          </cell>
          <cell r="AZ1890">
            <v>0</v>
          </cell>
          <cell r="BA1890">
            <v>0</v>
          </cell>
          <cell r="BD1890" t="str">
            <v/>
          </cell>
          <cell r="BE1890">
            <v>1</v>
          </cell>
          <cell r="BG1890" t="str">
            <v>1100</v>
          </cell>
        </row>
        <row r="1891">
          <cell r="B1891" t="str">
            <v>G382040206100300</v>
          </cell>
          <cell r="C1891" t="str">
            <v>38.愛媛県</v>
          </cell>
          <cell r="D1891" t="str">
            <v>204</v>
          </cell>
          <cell r="E1891" t="str">
            <v>八幡浜市</v>
          </cell>
          <cell r="F1891" t="str">
            <v>02</v>
          </cell>
          <cell r="G1891" t="str">
            <v>特環 単独</v>
          </cell>
          <cell r="H1891" t="str">
            <v>特定環境保全公共下水道</v>
          </cell>
          <cell r="I1891" t="str">
            <v>単独</v>
          </cell>
          <cell r="J1891" t="str">
            <v>003</v>
          </cell>
          <cell r="K1891" t="str">
            <v>真穴浄化センター</v>
          </cell>
          <cell r="M1891" t="str">
            <v>1</v>
          </cell>
          <cell r="N1891" t="str">
            <v>1</v>
          </cell>
          <cell r="Q1891">
            <v>37712</v>
          </cell>
          <cell r="R1891" t="str">
            <v>平成</v>
          </cell>
          <cell r="S1891">
            <v>15</v>
          </cell>
          <cell r="T1891">
            <v>4</v>
          </cell>
          <cell r="AB1891">
            <v>3500</v>
          </cell>
          <cell r="AC1891" t="str">
            <v>宇和海</v>
          </cell>
          <cell r="AD1891" t="str">
            <v>Ａ</v>
          </cell>
          <cell r="AE1891" t="str">
            <v>イ</v>
          </cell>
          <cell r="AF1891">
            <v>15</v>
          </cell>
          <cell r="AI1891" t="str">
            <v>宇和海</v>
          </cell>
          <cell r="AQ1891" t="str">
            <v/>
          </cell>
          <cell r="AR1891" t="str">
            <v>オキシディションディッチ法</v>
          </cell>
          <cell r="AS1891" t="str">
            <v>3820402003</v>
          </cell>
          <cell r="AT1891" t="str">
            <v/>
          </cell>
          <cell r="AU1891" t="str">
            <v>10</v>
          </cell>
          <cell r="AV1891" t="str">
            <v>10</v>
          </cell>
          <cell r="AW1891">
            <v>0</v>
          </cell>
          <cell r="AX1891">
            <v>0</v>
          </cell>
          <cell r="AY1891">
            <v>0</v>
          </cell>
          <cell r="AZ1891">
            <v>0</v>
          </cell>
          <cell r="BA1891">
            <v>0</v>
          </cell>
          <cell r="BD1891" t="str">
            <v/>
          </cell>
          <cell r="BE1891">
            <v>1</v>
          </cell>
          <cell r="BG1891" t="str">
            <v>1100</v>
          </cell>
        </row>
        <row r="1892">
          <cell r="B1892" t="str">
            <v>G382050106100100</v>
          </cell>
          <cell r="C1892" t="str">
            <v>38.愛媛県</v>
          </cell>
          <cell r="D1892" t="str">
            <v>205</v>
          </cell>
          <cell r="E1892" t="str">
            <v>新居浜市</v>
          </cell>
          <cell r="F1892" t="str">
            <v>01</v>
          </cell>
          <cell r="G1892" t="str">
            <v>公共 単独</v>
          </cell>
          <cell r="H1892" t="str">
            <v>公共下水道</v>
          </cell>
          <cell r="I1892" t="str">
            <v>単独</v>
          </cell>
          <cell r="J1892" t="str">
            <v>001</v>
          </cell>
          <cell r="K1892" t="str">
            <v>新居浜市下水処理場</v>
          </cell>
          <cell r="M1892" t="str">
            <v>1</v>
          </cell>
          <cell r="N1892" t="str">
            <v>1</v>
          </cell>
          <cell r="Q1892">
            <v>29281</v>
          </cell>
          <cell r="R1892" t="str">
            <v>昭和</v>
          </cell>
          <cell r="S1892">
            <v>55</v>
          </cell>
          <cell r="T1892">
            <v>3</v>
          </cell>
          <cell r="AB1892">
            <v>149767</v>
          </cell>
          <cell r="AC1892" t="str">
            <v>新居浜海域(丙)、燧灘中西部(窒素・リン)</v>
          </cell>
          <cell r="AD1892" t="str">
            <v>Ａ-Ⅱ</v>
          </cell>
          <cell r="AE1892" t="str">
            <v>ロ</v>
          </cell>
          <cell r="AF1892">
            <v>15</v>
          </cell>
          <cell r="AG1892">
            <v>20</v>
          </cell>
          <cell r="AH1892">
            <v>3</v>
          </cell>
          <cell r="AI1892" t="str">
            <v>燧灘</v>
          </cell>
          <cell r="AQ1892" t="str">
            <v/>
          </cell>
          <cell r="AR1892" t="str">
            <v>ステップ流入式多段硝化脱窒法</v>
          </cell>
          <cell r="AS1892" t="str">
            <v>3820501001</v>
          </cell>
          <cell r="AT1892" t="str">
            <v/>
          </cell>
          <cell r="AU1892" t="str">
            <v>10</v>
          </cell>
          <cell r="AV1892" t="str">
            <v>10</v>
          </cell>
          <cell r="AW1892">
            <v>0</v>
          </cell>
          <cell r="AX1892">
            <v>0</v>
          </cell>
          <cell r="AY1892">
            <v>0</v>
          </cell>
          <cell r="AZ1892">
            <v>0</v>
          </cell>
          <cell r="BA1892">
            <v>0</v>
          </cell>
          <cell r="BD1892" t="str">
            <v/>
          </cell>
          <cell r="BE1892">
            <v>1</v>
          </cell>
          <cell r="BG1892" t="str">
            <v>1100</v>
          </cell>
        </row>
        <row r="1893">
          <cell r="B1893" t="str">
            <v>G382060106100100</v>
          </cell>
          <cell r="C1893" t="str">
            <v>38.愛媛県</v>
          </cell>
          <cell r="D1893" t="str">
            <v>206</v>
          </cell>
          <cell r="E1893" t="str">
            <v>西条市</v>
          </cell>
          <cell r="F1893" t="str">
            <v>01</v>
          </cell>
          <cell r="G1893" t="str">
            <v>公共 単独</v>
          </cell>
          <cell r="H1893" t="str">
            <v>公共下水道</v>
          </cell>
          <cell r="I1893" t="str">
            <v>単独</v>
          </cell>
          <cell r="J1893" t="str">
            <v>001</v>
          </cell>
          <cell r="K1893" t="str">
            <v>西条浄化センター</v>
          </cell>
          <cell r="M1893" t="str">
            <v>1</v>
          </cell>
          <cell r="N1893" t="str">
            <v>1</v>
          </cell>
          <cell r="Q1893">
            <v>31137</v>
          </cell>
          <cell r="R1893" t="str">
            <v>昭和</v>
          </cell>
          <cell r="S1893">
            <v>60</v>
          </cell>
          <cell r="T1893">
            <v>3</v>
          </cell>
          <cell r="AB1893">
            <v>86410</v>
          </cell>
          <cell r="AC1893" t="str">
            <v>西条海域（丙）</v>
          </cell>
          <cell r="AD1893" t="str">
            <v>Ａ</v>
          </cell>
          <cell r="AE1893" t="str">
            <v>ロ</v>
          </cell>
          <cell r="AF1893">
            <v>15</v>
          </cell>
          <cell r="AG1893">
            <v>20</v>
          </cell>
          <cell r="AH1893">
            <v>2</v>
          </cell>
          <cell r="AI1893" t="str">
            <v>燧灘</v>
          </cell>
          <cell r="AQ1893" t="str">
            <v/>
          </cell>
          <cell r="AR1893" t="str">
            <v>標準活性汚泥法</v>
          </cell>
          <cell r="AS1893" t="str">
            <v>3820601001</v>
          </cell>
          <cell r="AT1893" t="str">
            <v/>
          </cell>
          <cell r="AU1893" t="str">
            <v>10</v>
          </cell>
          <cell r="AV1893" t="str">
            <v>10</v>
          </cell>
          <cell r="AW1893">
            <v>0</v>
          </cell>
          <cell r="AX1893">
            <v>0</v>
          </cell>
          <cell r="AY1893">
            <v>0</v>
          </cell>
          <cell r="AZ1893">
            <v>0</v>
          </cell>
          <cell r="BA1893">
            <v>0</v>
          </cell>
          <cell r="BD1893" t="str">
            <v/>
          </cell>
          <cell r="BE1893">
            <v>1</v>
          </cell>
          <cell r="BG1893" t="str">
            <v>1100</v>
          </cell>
        </row>
        <row r="1894">
          <cell r="B1894" t="str">
            <v>G382060106100200</v>
          </cell>
          <cell r="C1894" t="str">
            <v>38.愛媛県</v>
          </cell>
          <cell r="D1894" t="str">
            <v>206</v>
          </cell>
          <cell r="E1894" t="str">
            <v>西条市</v>
          </cell>
          <cell r="F1894" t="str">
            <v>01</v>
          </cell>
          <cell r="G1894" t="str">
            <v>公共 単独</v>
          </cell>
          <cell r="H1894" t="str">
            <v>公共下水道</v>
          </cell>
          <cell r="I1894" t="str">
            <v>単独</v>
          </cell>
          <cell r="J1894" t="str">
            <v>002</v>
          </cell>
          <cell r="K1894" t="str">
            <v>東予・丹原浄化センター</v>
          </cell>
          <cell r="M1894" t="str">
            <v>1</v>
          </cell>
          <cell r="N1894" t="str">
            <v>1</v>
          </cell>
          <cell r="Q1894">
            <v>33328</v>
          </cell>
          <cell r="R1894" t="str">
            <v>平成</v>
          </cell>
          <cell r="S1894">
            <v>3</v>
          </cell>
          <cell r="T1894">
            <v>3</v>
          </cell>
          <cell r="AB1894">
            <v>48100</v>
          </cell>
          <cell r="AC1894" t="str">
            <v>東予港壬生川地区（海域）</v>
          </cell>
          <cell r="AD1894" t="str">
            <v>Ｃ</v>
          </cell>
          <cell r="AE1894" t="str">
            <v>イ</v>
          </cell>
          <cell r="AF1894">
            <v>15</v>
          </cell>
          <cell r="AG1894">
            <v>20</v>
          </cell>
          <cell r="AH1894">
            <v>2</v>
          </cell>
          <cell r="AI1894" t="str">
            <v>燧灘</v>
          </cell>
          <cell r="AQ1894" t="str">
            <v/>
          </cell>
          <cell r="AR1894" t="str">
            <v>オキシディションディッチ法</v>
          </cell>
          <cell r="AS1894" t="str">
            <v>3820601002</v>
          </cell>
          <cell r="AT1894" t="str">
            <v/>
          </cell>
          <cell r="AU1894" t="str">
            <v>10</v>
          </cell>
          <cell r="AV1894" t="str">
            <v>10</v>
          </cell>
          <cell r="AW1894">
            <v>0</v>
          </cell>
          <cell r="AX1894">
            <v>0</v>
          </cell>
          <cell r="AY1894">
            <v>0</v>
          </cell>
          <cell r="AZ1894">
            <v>0</v>
          </cell>
          <cell r="BA1894">
            <v>0</v>
          </cell>
          <cell r="BD1894" t="str">
            <v/>
          </cell>
          <cell r="BE1894">
            <v>1</v>
          </cell>
          <cell r="BG1894" t="str">
            <v>1100</v>
          </cell>
        </row>
        <row r="1895">
          <cell r="B1895" t="str">
            <v>G382070106100100</v>
          </cell>
          <cell r="C1895" t="str">
            <v>38.愛媛県</v>
          </cell>
          <cell r="D1895" t="str">
            <v>207</v>
          </cell>
          <cell r="E1895" t="str">
            <v>大洲市</v>
          </cell>
          <cell r="F1895" t="str">
            <v>01</v>
          </cell>
          <cell r="G1895" t="str">
            <v>公共 単独</v>
          </cell>
          <cell r="H1895" t="str">
            <v>公共下水道</v>
          </cell>
          <cell r="I1895" t="str">
            <v>単独</v>
          </cell>
          <cell r="J1895" t="str">
            <v>001</v>
          </cell>
          <cell r="K1895" t="str">
            <v>肱南浄化センター</v>
          </cell>
          <cell r="M1895" t="str">
            <v>1</v>
          </cell>
          <cell r="N1895" t="str">
            <v>1</v>
          </cell>
          <cell r="Q1895">
            <v>34881</v>
          </cell>
          <cell r="R1895" t="str">
            <v>平成</v>
          </cell>
          <cell r="S1895">
            <v>7</v>
          </cell>
          <cell r="T1895">
            <v>7</v>
          </cell>
          <cell r="AB1895">
            <v>9693</v>
          </cell>
          <cell r="AC1895" t="str">
            <v>肱川水域甲</v>
          </cell>
          <cell r="AD1895" t="str">
            <v>Ａ</v>
          </cell>
          <cell r="AE1895" t="str">
            <v>ロ</v>
          </cell>
          <cell r="AF1895">
            <v>15</v>
          </cell>
          <cell r="AG1895">
            <v>20</v>
          </cell>
          <cell r="AH1895">
            <v>3</v>
          </cell>
          <cell r="AK1895" t="str">
            <v>久米川</v>
          </cell>
          <cell r="AL1895" t="str">
            <v>五郎水源地</v>
          </cell>
          <cell r="AN1895">
            <v>2.9</v>
          </cell>
          <cell r="AO1895" t="str">
            <v>大洲市</v>
          </cell>
          <cell r="AQ1895" t="str">
            <v/>
          </cell>
          <cell r="AR1895" t="str">
            <v>回分式活性汚泥法</v>
          </cell>
          <cell r="AS1895" t="str">
            <v>3820701001</v>
          </cell>
          <cell r="AT1895" t="str">
            <v/>
          </cell>
          <cell r="AU1895" t="str">
            <v>10</v>
          </cell>
          <cell r="AV1895" t="str">
            <v>10</v>
          </cell>
          <cell r="AW1895">
            <v>0</v>
          </cell>
          <cell r="AX1895">
            <v>0</v>
          </cell>
          <cell r="AY1895">
            <v>0</v>
          </cell>
          <cell r="AZ1895">
            <v>0</v>
          </cell>
          <cell r="BA1895">
            <v>0</v>
          </cell>
          <cell r="BD1895" t="str">
            <v/>
          </cell>
          <cell r="BE1895">
            <v>1</v>
          </cell>
          <cell r="BG1895" t="str">
            <v>1100</v>
          </cell>
        </row>
        <row r="1896">
          <cell r="B1896" t="str">
            <v>G382070106100200</v>
          </cell>
          <cell r="C1896" t="str">
            <v>38.愛媛県</v>
          </cell>
          <cell r="D1896" t="str">
            <v>207</v>
          </cell>
          <cell r="E1896" t="str">
            <v>大洲市</v>
          </cell>
          <cell r="F1896" t="str">
            <v>01</v>
          </cell>
          <cell r="G1896" t="str">
            <v>公共 単独</v>
          </cell>
          <cell r="H1896" t="str">
            <v>公共下水道</v>
          </cell>
          <cell r="I1896" t="str">
            <v>単独</v>
          </cell>
          <cell r="J1896" t="str">
            <v>002</v>
          </cell>
          <cell r="K1896" t="str">
            <v>肱北浄化センター</v>
          </cell>
          <cell r="M1896" t="str">
            <v>1</v>
          </cell>
          <cell r="N1896" t="str">
            <v>1</v>
          </cell>
          <cell r="Q1896">
            <v>39569</v>
          </cell>
          <cell r="R1896" t="str">
            <v>平成</v>
          </cell>
          <cell r="S1896">
            <v>20</v>
          </cell>
          <cell r="T1896">
            <v>5</v>
          </cell>
          <cell r="AB1896">
            <v>15976</v>
          </cell>
          <cell r="AC1896" t="str">
            <v>肱川水域甲</v>
          </cell>
          <cell r="AD1896" t="str">
            <v>Ａ</v>
          </cell>
          <cell r="AE1896" t="str">
            <v>ロ</v>
          </cell>
          <cell r="AF1896">
            <v>15</v>
          </cell>
          <cell r="AG1896">
            <v>20</v>
          </cell>
          <cell r="AH1896">
            <v>3</v>
          </cell>
          <cell r="AK1896" t="str">
            <v>矢落川</v>
          </cell>
          <cell r="AL1896" t="str">
            <v>五郎水源地</v>
          </cell>
          <cell r="AM1896">
            <v>1.5</v>
          </cell>
          <cell r="AO1896" t="str">
            <v>大洲市</v>
          </cell>
          <cell r="AQ1896" t="str">
            <v/>
          </cell>
          <cell r="AR1896" t="str">
            <v>標準活性汚泥法</v>
          </cell>
          <cell r="AS1896" t="str">
            <v>3820701002</v>
          </cell>
          <cell r="AT1896" t="str">
            <v/>
          </cell>
          <cell r="AU1896" t="str">
            <v>10</v>
          </cell>
          <cell r="AV1896" t="str">
            <v>10</v>
          </cell>
          <cell r="AW1896">
            <v>0</v>
          </cell>
          <cell r="AX1896">
            <v>0</v>
          </cell>
          <cell r="AY1896">
            <v>0</v>
          </cell>
          <cell r="AZ1896">
            <v>0</v>
          </cell>
          <cell r="BA1896">
            <v>0</v>
          </cell>
          <cell r="BD1896" t="str">
            <v/>
          </cell>
          <cell r="BE1896">
            <v>1</v>
          </cell>
          <cell r="BG1896" t="str">
            <v>1100</v>
          </cell>
        </row>
        <row r="1897">
          <cell r="B1897" t="str">
            <v>G382100106100100</v>
          </cell>
          <cell r="C1897" t="str">
            <v>38.愛媛県</v>
          </cell>
          <cell r="D1897" t="str">
            <v>210</v>
          </cell>
          <cell r="E1897" t="str">
            <v>伊予市</v>
          </cell>
          <cell r="F1897" t="str">
            <v>01</v>
          </cell>
          <cell r="G1897" t="str">
            <v>公共 単独</v>
          </cell>
          <cell r="H1897" t="str">
            <v>公共下水道</v>
          </cell>
          <cell r="I1897" t="str">
            <v>単独</v>
          </cell>
          <cell r="J1897" t="str">
            <v>001</v>
          </cell>
          <cell r="K1897" t="str">
            <v>伊予市下水浄化センター</v>
          </cell>
          <cell r="M1897" t="str">
            <v>1</v>
          </cell>
          <cell r="N1897" t="str">
            <v>1</v>
          </cell>
          <cell r="Q1897">
            <v>35034</v>
          </cell>
          <cell r="R1897" t="str">
            <v>平成</v>
          </cell>
          <cell r="S1897">
            <v>7</v>
          </cell>
          <cell r="T1897">
            <v>12</v>
          </cell>
          <cell r="AB1897">
            <v>40454</v>
          </cell>
          <cell r="AC1897" t="str">
            <v>伊予灘一般</v>
          </cell>
          <cell r="AD1897" t="str">
            <v>Ａ-Ⅱ</v>
          </cell>
          <cell r="AE1897" t="str">
            <v>イ</v>
          </cell>
          <cell r="AF1897">
            <v>15</v>
          </cell>
          <cell r="AG1897">
            <v>20</v>
          </cell>
          <cell r="AH1897">
            <v>3</v>
          </cell>
          <cell r="AI1897" t="str">
            <v>伊予灘</v>
          </cell>
          <cell r="AQ1897" t="str">
            <v/>
          </cell>
          <cell r="AR1897" t="str">
            <v>標準活性汚泥法</v>
          </cell>
          <cell r="AS1897" t="str">
            <v>3821001001</v>
          </cell>
          <cell r="AT1897" t="str">
            <v/>
          </cell>
          <cell r="AU1897" t="str">
            <v>10</v>
          </cell>
          <cell r="AV1897" t="str">
            <v>10</v>
          </cell>
          <cell r="AW1897">
            <v>0</v>
          </cell>
          <cell r="AX1897">
            <v>0</v>
          </cell>
          <cell r="AY1897">
            <v>0</v>
          </cell>
          <cell r="AZ1897">
            <v>0</v>
          </cell>
          <cell r="BA1897">
            <v>0</v>
          </cell>
          <cell r="BD1897" t="str">
            <v/>
          </cell>
          <cell r="BE1897">
            <v>1</v>
          </cell>
          <cell r="BG1897" t="str">
            <v>1100</v>
          </cell>
        </row>
        <row r="1898">
          <cell r="B1898" t="str">
            <v>G382100206100200</v>
          </cell>
          <cell r="C1898" t="str">
            <v>38.愛媛県</v>
          </cell>
          <cell r="D1898" t="str">
            <v>210</v>
          </cell>
          <cell r="E1898" t="str">
            <v>伊予市</v>
          </cell>
          <cell r="F1898" t="str">
            <v>02</v>
          </cell>
          <cell r="G1898" t="str">
            <v>特環 単独</v>
          </cell>
          <cell r="H1898" t="str">
            <v>特定環境保全公共下水道</v>
          </cell>
          <cell r="I1898" t="str">
            <v>単独</v>
          </cell>
          <cell r="J1898" t="str">
            <v>002</v>
          </cell>
          <cell r="K1898" t="str">
            <v>中山町浄化センター</v>
          </cell>
          <cell r="M1898" t="str">
            <v>1</v>
          </cell>
          <cell r="N1898" t="str">
            <v>1</v>
          </cell>
          <cell r="Q1898">
            <v>36312</v>
          </cell>
          <cell r="R1898" t="str">
            <v>平成</v>
          </cell>
          <cell r="S1898">
            <v>11</v>
          </cell>
          <cell r="T1898">
            <v>6</v>
          </cell>
          <cell r="AB1898">
            <v>2380</v>
          </cell>
          <cell r="AC1898" t="str">
            <v>肱川水系　中山川</v>
          </cell>
          <cell r="AD1898" t="str">
            <v>Ａ</v>
          </cell>
          <cell r="AE1898" t="str">
            <v>ロ</v>
          </cell>
          <cell r="AF1898">
            <v>15</v>
          </cell>
          <cell r="AK1898" t="str">
            <v>中山川_(肱川）</v>
          </cell>
          <cell r="AL1898" t="str">
            <v>中山地区　簡易水道</v>
          </cell>
          <cell r="AM1898">
            <v>4</v>
          </cell>
          <cell r="AO1898" t="str">
            <v>伊予市</v>
          </cell>
          <cell r="AQ1898" t="str">
            <v/>
          </cell>
          <cell r="AR1898" t="str">
            <v>オキシディションディッチ法</v>
          </cell>
          <cell r="AS1898" t="str">
            <v>3821002002</v>
          </cell>
          <cell r="AT1898" t="str">
            <v/>
          </cell>
          <cell r="AU1898" t="str">
            <v>10</v>
          </cell>
          <cell r="AV1898" t="str">
            <v>10</v>
          </cell>
          <cell r="AW1898">
            <v>0</v>
          </cell>
          <cell r="AX1898">
            <v>0</v>
          </cell>
          <cell r="AY1898">
            <v>0</v>
          </cell>
          <cell r="AZ1898">
            <v>0</v>
          </cell>
          <cell r="BA1898">
            <v>0</v>
          </cell>
          <cell r="BD1898" t="str">
            <v/>
          </cell>
          <cell r="BE1898">
            <v>1</v>
          </cell>
          <cell r="BG1898" t="str">
            <v>1100</v>
          </cell>
        </row>
        <row r="1899">
          <cell r="B1899" t="str">
            <v>G382130106100100</v>
          </cell>
          <cell r="C1899" t="str">
            <v>38.愛媛県</v>
          </cell>
          <cell r="D1899" t="str">
            <v>213</v>
          </cell>
          <cell r="E1899" t="str">
            <v>四国中央市</v>
          </cell>
          <cell r="F1899" t="str">
            <v>01</v>
          </cell>
          <cell r="G1899" t="str">
            <v>公共 単独</v>
          </cell>
          <cell r="H1899" t="str">
            <v>公共下水道</v>
          </cell>
          <cell r="I1899" t="str">
            <v>単独</v>
          </cell>
          <cell r="J1899" t="str">
            <v>001</v>
          </cell>
          <cell r="K1899" t="str">
            <v>川之江浄化センター</v>
          </cell>
          <cell r="M1899" t="str">
            <v>1</v>
          </cell>
          <cell r="N1899" t="str">
            <v>1</v>
          </cell>
          <cell r="P1899" t="str">
            <v>1</v>
          </cell>
          <cell r="Q1899">
            <v>29068</v>
          </cell>
          <cell r="R1899" t="str">
            <v>昭和</v>
          </cell>
          <cell r="S1899">
            <v>54</v>
          </cell>
          <cell r="T1899">
            <v>8</v>
          </cell>
          <cell r="AB1899">
            <v>20115</v>
          </cell>
          <cell r="AC1899" t="str">
            <v>伊予三島・川之江地先</v>
          </cell>
          <cell r="AD1899" t="str">
            <v>Ｃ</v>
          </cell>
          <cell r="AE1899" t="str">
            <v>ロ</v>
          </cell>
          <cell r="AF1899">
            <v>15</v>
          </cell>
          <cell r="AG1899">
            <v>20</v>
          </cell>
          <cell r="AH1899">
            <v>3</v>
          </cell>
          <cell r="AI1899" t="str">
            <v>燧灘</v>
          </cell>
          <cell r="AQ1899" t="str">
            <v/>
          </cell>
          <cell r="AR1899" t="str">
            <v>標準活性汚泥法</v>
          </cell>
          <cell r="AS1899" t="str">
            <v>3821301001</v>
          </cell>
          <cell r="AT1899" t="str">
            <v/>
          </cell>
          <cell r="AU1899" t="str">
            <v>10</v>
          </cell>
          <cell r="AV1899" t="str">
            <v>10</v>
          </cell>
          <cell r="AW1899">
            <v>1</v>
          </cell>
          <cell r="AX1899">
            <v>0</v>
          </cell>
          <cell r="AY1899">
            <v>0</v>
          </cell>
          <cell r="AZ1899">
            <v>0</v>
          </cell>
          <cell r="BA1899">
            <v>0</v>
          </cell>
          <cell r="BD1899" t="str">
            <v/>
          </cell>
          <cell r="BE1899">
            <v>1</v>
          </cell>
          <cell r="BG1899" t="str">
            <v>1101</v>
          </cell>
        </row>
        <row r="1900">
          <cell r="B1900" t="str">
            <v>G382130106100200</v>
          </cell>
          <cell r="C1900" t="str">
            <v>38.愛媛県</v>
          </cell>
          <cell r="D1900" t="str">
            <v>213</v>
          </cell>
          <cell r="E1900" t="str">
            <v>四国中央市</v>
          </cell>
          <cell r="F1900" t="str">
            <v>01</v>
          </cell>
          <cell r="G1900" t="str">
            <v>公共 単独</v>
          </cell>
          <cell r="H1900" t="str">
            <v>公共下水道</v>
          </cell>
          <cell r="I1900" t="str">
            <v>単独</v>
          </cell>
          <cell r="J1900" t="str">
            <v>002</v>
          </cell>
          <cell r="K1900" t="str">
            <v>三島浄化センター</v>
          </cell>
          <cell r="M1900" t="str">
            <v>1</v>
          </cell>
          <cell r="N1900" t="str">
            <v>1</v>
          </cell>
          <cell r="Q1900">
            <v>29676</v>
          </cell>
          <cell r="R1900" t="str">
            <v>昭和</v>
          </cell>
          <cell r="S1900">
            <v>56</v>
          </cell>
          <cell r="T1900">
            <v>3</v>
          </cell>
          <cell r="AB1900">
            <v>45000</v>
          </cell>
          <cell r="AC1900" t="str">
            <v>燧灘東部</v>
          </cell>
          <cell r="AD1900" t="str">
            <v>Ａ</v>
          </cell>
          <cell r="AE1900" t="str">
            <v>ロ</v>
          </cell>
          <cell r="AF1900">
            <v>15</v>
          </cell>
          <cell r="AG1900">
            <v>20</v>
          </cell>
          <cell r="AH1900">
            <v>3</v>
          </cell>
          <cell r="AI1900" t="str">
            <v>燧灘</v>
          </cell>
          <cell r="AQ1900" t="str">
            <v/>
          </cell>
          <cell r="AR1900" t="str">
            <v>標準活性汚泥法</v>
          </cell>
          <cell r="AS1900" t="str">
            <v>3821301002</v>
          </cell>
          <cell r="AT1900" t="str">
            <v/>
          </cell>
          <cell r="AU1900" t="str">
            <v>10</v>
          </cell>
          <cell r="AV1900" t="str">
            <v>10</v>
          </cell>
          <cell r="AW1900">
            <v>0</v>
          </cell>
          <cell r="AX1900">
            <v>0</v>
          </cell>
          <cell r="AY1900">
            <v>0</v>
          </cell>
          <cell r="AZ1900">
            <v>0</v>
          </cell>
          <cell r="BA1900">
            <v>0</v>
          </cell>
          <cell r="BD1900" t="str">
            <v/>
          </cell>
          <cell r="BE1900">
            <v>1</v>
          </cell>
          <cell r="BG1900" t="str">
            <v>1100</v>
          </cell>
        </row>
        <row r="1901">
          <cell r="B1901" t="str">
            <v>G382140106100100</v>
          </cell>
          <cell r="C1901" t="str">
            <v>38.愛媛県</v>
          </cell>
          <cell r="D1901" t="str">
            <v>214</v>
          </cell>
          <cell r="E1901" t="str">
            <v>西予市</v>
          </cell>
          <cell r="F1901" t="str">
            <v>01</v>
          </cell>
          <cell r="G1901" t="str">
            <v>公共 単独</v>
          </cell>
          <cell r="H1901" t="str">
            <v>公共下水道</v>
          </cell>
          <cell r="I1901" t="str">
            <v>単独</v>
          </cell>
          <cell r="J1901" t="str">
            <v>001</v>
          </cell>
          <cell r="K1901" t="str">
            <v>西予市野村浄化センター</v>
          </cell>
          <cell r="M1901" t="str">
            <v>1</v>
          </cell>
          <cell r="N1901" t="str">
            <v>1</v>
          </cell>
          <cell r="Q1901">
            <v>38412</v>
          </cell>
          <cell r="R1901" t="str">
            <v>平成</v>
          </cell>
          <cell r="S1901">
            <v>17</v>
          </cell>
          <cell r="T1901">
            <v>3</v>
          </cell>
          <cell r="AB1901">
            <v>16500</v>
          </cell>
          <cell r="AC1901" t="str">
            <v>肱川</v>
          </cell>
          <cell r="AD1901" t="str">
            <v>Ａ</v>
          </cell>
          <cell r="AE1901" t="str">
            <v>ロ</v>
          </cell>
          <cell r="AF1901">
            <v>15</v>
          </cell>
          <cell r="AG1901">
            <v>20</v>
          </cell>
          <cell r="AH1901">
            <v>3</v>
          </cell>
          <cell r="AK1901" t="str">
            <v>肱川</v>
          </cell>
          <cell r="AL1901" t="str">
            <v>第2水源</v>
          </cell>
          <cell r="AM1901">
            <v>2</v>
          </cell>
          <cell r="AO1901" t="str">
            <v>西予市</v>
          </cell>
          <cell r="AQ1901" t="str">
            <v/>
          </cell>
          <cell r="AR1901" t="str">
            <v>オキシディションディッチ法</v>
          </cell>
          <cell r="AS1901" t="str">
            <v>3821401001</v>
          </cell>
          <cell r="AT1901" t="str">
            <v/>
          </cell>
          <cell r="AU1901" t="str">
            <v>10</v>
          </cell>
          <cell r="AV1901" t="str">
            <v>10</v>
          </cell>
          <cell r="AW1901">
            <v>0</v>
          </cell>
          <cell r="AX1901">
            <v>0</v>
          </cell>
          <cell r="AY1901">
            <v>0</v>
          </cell>
          <cell r="AZ1901">
            <v>0</v>
          </cell>
          <cell r="BA1901">
            <v>0</v>
          </cell>
          <cell r="BD1901" t="str">
            <v/>
          </cell>
          <cell r="BE1901">
            <v>1</v>
          </cell>
          <cell r="BG1901" t="str">
            <v>1100</v>
          </cell>
        </row>
        <row r="1902">
          <cell r="B1902" t="str">
            <v>G382140106100200</v>
          </cell>
          <cell r="C1902" t="str">
            <v>38.愛媛県</v>
          </cell>
          <cell r="D1902" t="str">
            <v>214</v>
          </cell>
          <cell r="E1902" t="str">
            <v>西予市</v>
          </cell>
          <cell r="F1902" t="str">
            <v>01</v>
          </cell>
          <cell r="G1902" t="str">
            <v>公共 単独</v>
          </cell>
          <cell r="H1902" t="str">
            <v>公共下水道</v>
          </cell>
          <cell r="I1902" t="str">
            <v>単独</v>
          </cell>
          <cell r="J1902" t="str">
            <v>002</v>
          </cell>
          <cell r="K1902" t="str">
            <v>西予市宇和浄化センター</v>
          </cell>
          <cell r="M1902" t="str">
            <v>1</v>
          </cell>
          <cell r="N1902" t="str">
            <v>1</v>
          </cell>
          <cell r="Q1902">
            <v>39142</v>
          </cell>
          <cell r="R1902" t="str">
            <v>平成</v>
          </cell>
          <cell r="S1902">
            <v>19</v>
          </cell>
          <cell r="T1902">
            <v>3</v>
          </cell>
          <cell r="AB1902">
            <v>14100</v>
          </cell>
          <cell r="AC1902" t="str">
            <v>肱川</v>
          </cell>
          <cell r="AD1902" t="str">
            <v>Ａ</v>
          </cell>
          <cell r="AE1902" t="str">
            <v>ロ</v>
          </cell>
          <cell r="AF1902">
            <v>15</v>
          </cell>
          <cell r="AG1902">
            <v>20</v>
          </cell>
          <cell r="AH1902">
            <v>3</v>
          </cell>
          <cell r="AK1902" t="str">
            <v>肱川</v>
          </cell>
          <cell r="AQ1902" t="str">
            <v/>
          </cell>
          <cell r="AR1902" t="str">
            <v>オキシディションディッチ法</v>
          </cell>
          <cell r="AS1902" t="str">
            <v>3821401002</v>
          </cell>
          <cell r="AT1902" t="str">
            <v/>
          </cell>
          <cell r="AU1902" t="str">
            <v>10</v>
          </cell>
          <cell r="AV1902" t="str">
            <v>10</v>
          </cell>
          <cell r="AW1902">
            <v>0</v>
          </cell>
          <cell r="AX1902">
            <v>0</v>
          </cell>
          <cell r="AY1902">
            <v>0</v>
          </cell>
          <cell r="AZ1902">
            <v>0</v>
          </cell>
          <cell r="BA1902">
            <v>0</v>
          </cell>
          <cell r="BD1902" t="str">
            <v/>
          </cell>
          <cell r="BE1902">
            <v>1</v>
          </cell>
          <cell r="BG1902" t="str">
            <v>1100</v>
          </cell>
        </row>
        <row r="1903">
          <cell r="B1903" t="str">
            <v>G382150106100100</v>
          </cell>
          <cell r="C1903" t="str">
            <v>38.愛媛県</v>
          </cell>
          <cell r="D1903" t="str">
            <v>215</v>
          </cell>
          <cell r="E1903" t="str">
            <v>東温市</v>
          </cell>
          <cell r="F1903" t="str">
            <v>01</v>
          </cell>
          <cell r="G1903" t="str">
            <v>公共 単独</v>
          </cell>
          <cell r="H1903" t="str">
            <v>公共下水道</v>
          </cell>
          <cell r="I1903" t="str">
            <v>単独</v>
          </cell>
          <cell r="J1903" t="str">
            <v>001</v>
          </cell>
          <cell r="K1903" t="str">
            <v>川内浄化センター</v>
          </cell>
          <cell r="M1903" t="str">
            <v>1</v>
          </cell>
          <cell r="N1903" t="str">
            <v>1</v>
          </cell>
          <cell r="Q1903">
            <v>36951</v>
          </cell>
          <cell r="R1903" t="str">
            <v>平成</v>
          </cell>
          <cell r="S1903">
            <v>13</v>
          </cell>
          <cell r="T1903">
            <v>3</v>
          </cell>
          <cell r="AB1903">
            <v>23110</v>
          </cell>
          <cell r="AC1903" t="str">
            <v>重信川</v>
          </cell>
          <cell r="AD1903" t="str">
            <v>ＡＡ</v>
          </cell>
          <cell r="AE1903" t="str">
            <v>イ</v>
          </cell>
          <cell r="AF1903">
            <v>15</v>
          </cell>
          <cell r="AG1903">
            <v>20</v>
          </cell>
          <cell r="AH1903">
            <v>3</v>
          </cell>
          <cell r="AI1903" t="str">
            <v>表川</v>
          </cell>
          <cell r="AK1903" t="str">
            <v>重信川</v>
          </cell>
          <cell r="AQ1903" t="str">
            <v/>
          </cell>
          <cell r="AR1903" t="str">
            <v>オキシディションディッチ法</v>
          </cell>
          <cell r="AS1903" t="str">
            <v>3821501001</v>
          </cell>
          <cell r="AT1903" t="str">
            <v/>
          </cell>
          <cell r="AU1903" t="str">
            <v>10</v>
          </cell>
          <cell r="AV1903" t="str">
            <v>10</v>
          </cell>
          <cell r="AW1903">
            <v>0</v>
          </cell>
          <cell r="AX1903">
            <v>0</v>
          </cell>
          <cell r="AY1903">
            <v>0</v>
          </cell>
          <cell r="AZ1903">
            <v>0</v>
          </cell>
          <cell r="BA1903">
            <v>0</v>
          </cell>
          <cell r="BD1903" t="str">
            <v/>
          </cell>
          <cell r="BE1903">
            <v>1</v>
          </cell>
          <cell r="BG1903" t="str">
            <v>1100</v>
          </cell>
        </row>
        <row r="1904">
          <cell r="B1904" t="str">
            <v>G382150106100200</v>
          </cell>
          <cell r="C1904" t="str">
            <v>38.愛媛県</v>
          </cell>
          <cell r="D1904" t="str">
            <v>215</v>
          </cell>
          <cell r="E1904" t="str">
            <v>東温市</v>
          </cell>
          <cell r="F1904" t="str">
            <v>01</v>
          </cell>
          <cell r="G1904" t="str">
            <v>公共 単独</v>
          </cell>
          <cell r="H1904" t="str">
            <v>公共下水道</v>
          </cell>
          <cell r="I1904" t="str">
            <v>単独</v>
          </cell>
          <cell r="J1904" t="str">
            <v>002</v>
          </cell>
          <cell r="K1904" t="str">
            <v>重信浄化センター</v>
          </cell>
          <cell r="M1904" t="str">
            <v>1</v>
          </cell>
          <cell r="N1904" t="str">
            <v>1</v>
          </cell>
          <cell r="Q1904">
            <v>38412</v>
          </cell>
          <cell r="R1904" t="str">
            <v>平成</v>
          </cell>
          <cell r="S1904">
            <v>17</v>
          </cell>
          <cell r="T1904">
            <v>3</v>
          </cell>
          <cell r="AB1904">
            <v>32959</v>
          </cell>
          <cell r="AC1904" t="str">
            <v>重信川</v>
          </cell>
          <cell r="AD1904" t="str">
            <v>ＡＡ</v>
          </cell>
          <cell r="AE1904" t="str">
            <v>イ</v>
          </cell>
          <cell r="AF1904">
            <v>15</v>
          </cell>
          <cell r="AG1904">
            <v>20</v>
          </cell>
          <cell r="AH1904">
            <v>3</v>
          </cell>
          <cell r="AK1904" t="str">
            <v>重信川</v>
          </cell>
          <cell r="AQ1904" t="str">
            <v/>
          </cell>
          <cell r="AR1904" t="str">
            <v>オキシディションディッチ法</v>
          </cell>
          <cell r="AS1904" t="str">
            <v>3821501002</v>
          </cell>
          <cell r="AT1904" t="str">
            <v/>
          </cell>
          <cell r="AU1904" t="str">
            <v>10</v>
          </cell>
          <cell r="AV1904" t="str">
            <v>10</v>
          </cell>
          <cell r="AW1904">
            <v>0</v>
          </cell>
          <cell r="AX1904">
            <v>0</v>
          </cell>
          <cell r="AY1904">
            <v>0</v>
          </cell>
          <cell r="AZ1904">
            <v>0</v>
          </cell>
          <cell r="BA1904">
            <v>0</v>
          </cell>
          <cell r="BD1904" t="str">
            <v/>
          </cell>
          <cell r="BE1904">
            <v>1</v>
          </cell>
          <cell r="BG1904" t="str">
            <v>1100</v>
          </cell>
        </row>
        <row r="1905">
          <cell r="B1905" t="str">
            <v>G383560206100100</v>
          </cell>
          <cell r="C1905" t="str">
            <v>38.愛媛県</v>
          </cell>
          <cell r="D1905" t="str">
            <v>356</v>
          </cell>
          <cell r="E1905" t="str">
            <v>上島町</v>
          </cell>
          <cell r="F1905" t="str">
            <v>02</v>
          </cell>
          <cell r="G1905" t="str">
            <v>特環 単独</v>
          </cell>
          <cell r="H1905" t="str">
            <v>特定環境保全公共下水道</v>
          </cell>
          <cell r="I1905" t="str">
            <v>単独</v>
          </cell>
          <cell r="J1905" t="str">
            <v>001</v>
          </cell>
          <cell r="K1905" t="str">
            <v>弓削浄化センター</v>
          </cell>
          <cell r="M1905" t="str">
            <v>1</v>
          </cell>
          <cell r="N1905" t="str">
            <v>1</v>
          </cell>
          <cell r="P1905" t="str">
            <v>1</v>
          </cell>
          <cell r="Q1905">
            <v>35855</v>
          </cell>
          <cell r="R1905" t="str">
            <v>平成</v>
          </cell>
          <cell r="S1905">
            <v>10</v>
          </cell>
          <cell r="T1905">
            <v>3</v>
          </cell>
          <cell r="AB1905">
            <v>5300</v>
          </cell>
          <cell r="AC1905" t="str">
            <v>瀬戸内</v>
          </cell>
          <cell r="AD1905" t="str">
            <v>Ａ</v>
          </cell>
          <cell r="AE1905" t="str">
            <v>イ</v>
          </cell>
          <cell r="AF1905">
            <v>15</v>
          </cell>
          <cell r="AG1905">
            <v>20</v>
          </cell>
          <cell r="AH1905">
            <v>3</v>
          </cell>
          <cell r="AI1905" t="str">
            <v>燧灘</v>
          </cell>
          <cell r="AQ1905" t="str">
            <v/>
          </cell>
          <cell r="AR1905" t="str">
            <v>オキシディションディッチ法</v>
          </cell>
          <cell r="AS1905" t="str">
            <v>3835602001</v>
          </cell>
          <cell r="AT1905" t="str">
            <v/>
          </cell>
          <cell r="AU1905" t="str">
            <v>10</v>
          </cell>
          <cell r="AV1905" t="str">
            <v>10</v>
          </cell>
          <cell r="AW1905">
            <v>1</v>
          </cell>
          <cell r="AX1905">
            <v>0</v>
          </cell>
          <cell r="AY1905">
            <v>0</v>
          </cell>
          <cell r="AZ1905">
            <v>0</v>
          </cell>
          <cell r="BA1905">
            <v>0</v>
          </cell>
          <cell r="BD1905" t="str">
            <v/>
          </cell>
          <cell r="BE1905">
            <v>1</v>
          </cell>
          <cell r="BG1905" t="str">
            <v>1101</v>
          </cell>
        </row>
        <row r="1906">
          <cell r="B1906" t="str">
            <v>G383560206100200</v>
          </cell>
          <cell r="C1906" t="str">
            <v>38.愛媛県</v>
          </cell>
          <cell r="D1906" t="str">
            <v>356</v>
          </cell>
          <cell r="E1906" t="str">
            <v>上島町</v>
          </cell>
          <cell r="F1906" t="str">
            <v>02</v>
          </cell>
          <cell r="G1906" t="str">
            <v>特環 単独</v>
          </cell>
          <cell r="H1906" t="str">
            <v>特定環境保全公共下水道</v>
          </cell>
          <cell r="I1906" t="str">
            <v>単独</v>
          </cell>
          <cell r="J1906" t="str">
            <v>002</v>
          </cell>
          <cell r="K1906" t="str">
            <v>生名浄化センター</v>
          </cell>
          <cell r="M1906" t="str">
            <v>1</v>
          </cell>
          <cell r="N1906" t="str">
            <v>1</v>
          </cell>
          <cell r="Q1906">
            <v>37408</v>
          </cell>
          <cell r="R1906" t="str">
            <v>平成</v>
          </cell>
          <cell r="S1906">
            <v>14</v>
          </cell>
          <cell r="T1906">
            <v>6</v>
          </cell>
          <cell r="AB1906">
            <v>5560</v>
          </cell>
          <cell r="AC1906" t="str">
            <v>瀬戸内海</v>
          </cell>
          <cell r="AD1906" t="str">
            <v>Ａ</v>
          </cell>
          <cell r="AE1906" t="str">
            <v>イ</v>
          </cell>
          <cell r="AI1906" t="str">
            <v>燧灘</v>
          </cell>
          <cell r="AQ1906" t="str">
            <v/>
          </cell>
          <cell r="AR1906" t="str">
            <v>オキシディションディッチ法</v>
          </cell>
          <cell r="AS1906" t="str">
            <v>3835602002</v>
          </cell>
          <cell r="AT1906" t="str">
            <v/>
          </cell>
          <cell r="AU1906" t="str">
            <v>10</v>
          </cell>
          <cell r="AV1906" t="str">
            <v>10</v>
          </cell>
          <cell r="AW1906">
            <v>0</v>
          </cell>
          <cell r="AX1906">
            <v>0</v>
          </cell>
          <cell r="AY1906">
            <v>0</v>
          </cell>
          <cell r="AZ1906">
            <v>0</v>
          </cell>
          <cell r="BA1906">
            <v>0</v>
          </cell>
          <cell r="BD1906" t="str">
            <v/>
          </cell>
          <cell r="BE1906">
            <v>1</v>
          </cell>
          <cell r="BG1906" t="str">
            <v>1100</v>
          </cell>
        </row>
        <row r="1907">
          <cell r="B1907" t="str">
            <v>G383560206100300</v>
          </cell>
          <cell r="C1907" t="str">
            <v>38.愛媛県</v>
          </cell>
          <cell r="D1907" t="str">
            <v>356</v>
          </cell>
          <cell r="E1907" t="str">
            <v>上島町</v>
          </cell>
          <cell r="F1907" t="str">
            <v>02</v>
          </cell>
          <cell r="G1907" t="str">
            <v>特環 単独</v>
          </cell>
          <cell r="H1907" t="str">
            <v>特定環境保全公共下水道</v>
          </cell>
          <cell r="I1907" t="str">
            <v>単独</v>
          </cell>
          <cell r="J1907" t="str">
            <v>003</v>
          </cell>
          <cell r="K1907" t="str">
            <v>岩城浄化センター</v>
          </cell>
          <cell r="M1907" t="str">
            <v>1</v>
          </cell>
          <cell r="N1907" t="str">
            <v>1</v>
          </cell>
          <cell r="Q1907">
            <v>38443</v>
          </cell>
          <cell r="R1907" t="str">
            <v>平成</v>
          </cell>
          <cell r="S1907">
            <v>17</v>
          </cell>
          <cell r="T1907">
            <v>4</v>
          </cell>
          <cell r="AB1907">
            <v>3886</v>
          </cell>
          <cell r="AC1907" t="str">
            <v>瀬戸内海</v>
          </cell>
          <cell r="AD1907" t="str">
            <v>Ａ</v>
          </cell>
          <cell r="AE1907" t="str">
            <v>イ</v>
          </cell>
          <cell r="AI1907" t="str">
            <v>燧灘</v>
          </cell>
          <cell r="AQ1907" t="str">
            <v/>
          </cell>
          <cell r="AR1907" t="str">
            <v>オキシディションディッチ法</v>
          </cell>
          <cell r="AS1907" t="str">
            <v>3835602003</v>
          </cell>
          <cell r="AT1907" t="str">
            <v/>
          </cell>
          <cell r="AU1907" t="str">
            <v>10</v>
          </cell>
          <cell r="AV1907" t="str">
            <v>10</v>
          </cell>
          <cell r="AW1907">
            <v>0</v>
          </cell>
          <cell r="AX1907">
            <v>0</v>
          </cell>
          <cell r="AY1907">
            <v>0</v>
          </cell>
          <cell r="AZ1907">
            <v>0</v>
          </cell>
          <cell r="BA1907">
            <v>0</v>
          </cell>
          <cell r="BD1907" t="str">
            <v/>
          </cell>
          <cell r="BE1907">
            <v>1</v>
          </cell>
          <cell r="BG1907" t="str">
            <v>1100</v>
          </cell>
        </row>
        <row r="1908">
          <cell r="B1908" t="str">
            <v>G383860106100100</v>
          </cell>
          <cell r="C1908" t="str">
            <v>38.愛媛県</v>
          </cell>
          <cell r="D1908" t="str">
            <v>386</v>
          </cell>
          <cell r="E1908" t="str">
            <v>久万高原町</v>
          </cell>
          <cell r="F1908" t="str">
            <v>01</v>
          </cell>
          <cell r="G1908" t="str">
            <v>公共 単独</v>
          </cell>
          <cell r="H1908" t="str">
            <v>公共下水道</v>
          </cell>
          <cell r="I1908" t="str">
            <v>単独</v>
          </cell>
          <cell r="J1908" t="str">
            <v>001</v>
          </cell>
          <cell r="K1908" t="str">
            <v>久万浄化センター</v>
          </cell>
          <cell r="M1908" t="str">
            <v>1</v>
          </cell>
          <cell r="N1908" t="str">
            <v>1</v>
          </cell>
          <cell r="Q1908">
            <v>36976</v>
          </cell>
          <cell r="R1908" t="str">
            <v>平成</v>
          </cell>
          <cell r="S1908">
            <v>13</v>
          </cell>
          <cell r="T1908">
            <v>3</v>
          </cell>
          <cell r="AB1908">
            <v>3600</v>
          </cell>
          <cell r="AC1908" t="str">
            <v>仁淀川</v>
          </cell>
          <cell r="AD1908" t="str">
            <v>Ａ</v>
          </cell>
          <cell r="AE1908" t="str">
            <v>イ</v>
          </cell>
          <cell r="AF1908">
            <v>10</v>
          </cell>
          <cell r="AK1908" t="str">
            <v>久万川</v>
          </cell>
          <cell r="AL1908" t="str">
            <v>梅ヶ佐古</v>
          </cell>
          <cell r="AN1908">
            <v>70</v>
          </cell>
          <cell r="AO1908" t="str">
            <v>伊野町</v>
          </cell>
          <cell r="AQ1908" t="str">
            <v/>
          </cell>
          <cell r="AR1908" t="str">
            <v>好気性ろ床法</v>
          </cell>
          <cell r="AS1908" t="str">
            <v>3838601001</v>
          </cell>
          <cell r="AT1908" t="str">
            <v/>
          </cell>
          <cell r="AU1908" t="str">
            <v>10</v>
          </cell>
          <cell r="AV1908" t="str">
            <v>10</v>
          </cell>
          <cell r="AW1908">
            <v>0</v>
          </cell>
          <cell r="AX1908">
            <v>0</v>
          </cell>
          <cell r="AY1908">
            <v>0</v>
          </cell>
          <cell r="AZ1908">
            <v>0</v>
          </cell>
          <cell r="BA1908">
            <v>0</v>
          </cell>
          <cell r="BD1908" t="str">
            <v/>
          </cell>
          <cell r="BE1908">
            <v>1</v>
          </cell>
          <cell r="BG1908" t="str">
            <v>1100</v>
          </cell>
        </row>
        <row r="1909">
          <cell r="B1909" t="str">
            <v>G384010106100100</v>
          </cell>
          <cell r="C1909" t="str">
            <v>38.愛媛県</v>
          </cell>
          <cell r="D1909" t="str">
            <v>401</v>
          </cell>
          <cell r="E1909" t="str">
            <v>松前町</v>
          </cell>
          <cell r="F1909" t="str">
            <v>01</v>
          </cell>
          <cell r="G1909" t="str">
            <v>公共 単独</v>
          </cell>
          <cell r="H1909" t="str">
            <v>公共下水道</v>
          </cell>
          <cell r="I1909" t="str">
            <v>単独</v>
          </cell>
          <cell r="J1909" t="str">
            <v>001</v>
          </cell>
          <cell r="K1909" t="str">
            <v>松前浄化センター</v>
          </cell>
          <cell r="M1909" t="str">
            <v>1</v>
          </cell>
          <cell r="N1909" t="str">
            <v>1</v>
          </cell>
          <cell r="Q1909">
            <v>37316</v>
          </cell>
          <cell r="R1909" t="str">
            <v>平成</v>
          </cell>
          <cell r="S1909">
            <v>14</v>
          </cell>
          <cell r="T1909">
            <v>3</v>
          </cell>
          <cell r="AB1909">
            <v>35001</v>
          </cell>
          <cell r="AC1909" t="str">
            <v>伊予灘一般</v>
          </cell>
          <cell r="AD1909" t="str">
            <v>Ａ</v>
          </cell>
          <cell r="AE1909" t="str">
            <v>イ</v>
          </cell>
          <cell r="AF1909">
            <v>15</v>
          </cell>
          <cell r="AG1909">
            <v>20</v>
          </cell>
          <cell r="AH1909">
            <v>3</v>
          </cell>
          <cell r="AI1909" t="str">
            <v>伊予灘</v>
          </cell>
          <cell r="AQ1909" t="str">
            <v/>
          </cell>
          <cell r="AR1909" t="str">
            <v>標準活性汚泥法</v>
          </cell>
          <cell r="AS1909" t="str">
            <v>3840101001</v>
          </cell>
          <cell r="AT1909" t="str">
            <v/>
          </cell>
          <cell r="AU1909" t="str">
            <v>10</v>
          </cell>
          <cell r="AV1909" t="str">
            <v>10</v>
          </cell>
          <cell r="AW1909">
            <v>0</v>
          </cell>
          <cell r="AX1909">
            <v>0</v>
          </cell>
          <cell r="AY1909">
            <v>0</v>
          </cell>
          <cell r="AZ1909">
            <v>0</v>
          </cell>
          <cell r="BA1909">
            <v>0</v>
          </cell>
          <cell r="BD1909" t="str">
            <v/>
          </cell>
          <cell r="BE1909">
            <v>1</v>
          </cell>
          <cell r="BG1909" t="str">
            <v>1100</v>
          </cell>
        </row>
        <row r="1910">
          <cell r="B1910" t="str">
            <v>G384020106100100</v>
          </cell>
          <cell r="C1910" t="str">
            <v>38.愛媛県</v>
          </cell>
          <cell r="D1910" t="str">
            <v>402</v>
          </cell>
          <cell r="E1910" t="str">
            <v>砥部町</v>
          </cell>
          <cell r="F1910" t="str">
            <v>01</v>
          </cell>
          <cell r="G1910" t="str">
            <v>公共 単独</v>
          </cell>
          <cell r="H1910" t="str">
            <v>公共下水道</v>
          </cell>
          <cell r="I1910" t="str">
            <v>単独</v>
          </cell>
          <cell r="J1910" t="str">
            <v>001</v>
          </cell>
          <cell r="K1910" t="str">
            <v>砥部浄化センター</v>
          </cell>
          <cell r="M1910" t="str">
            <v>1</v>
          </cell>
          <cell r="N1910" t="str">
            <v>1</v>
          </cell>
          <cell r="Q1910">
            <v>40633</v>
          </cell>
          <cell r="R1910" t="str">
            <v>平成</v>
          </cell>
          <cell r="S1910">
            <v>23</v>
          </cell>
          <cell r="T1910">
            <v>3</v>
          </cell>
          <cell r="AB1910">
            <v>13300</v>
          </cell>
          <cell r="AC1910" t="str">
            <v>重信川　乙</v>
          </cell>
          <cell r="AD1910" t="str">
            <v>ＡＡ</v>
          </cell>
          <cell r="AE1910" t="str">
            <v>イ</v>
          </cell>
          <cell r="AF1910">
            <v>10</v>
          </cell>
          <cell r="AG1910">
            <v>11</v>
          </cell>
          <cell r="AH1910">
            <v>1</v>
          </cell>
          <cell r="AK1910" t="str">
            <v>砥部川</v>
          </cell>
          <cell r="AQ1910" t="str">
            <v/>
          </cell>
          <cell r="AR1910" t="str">
            <v>循環式硝化脱窒法</v>
          </cell>
          <cell r="AS1910" t="str">
            <v>3840201001</v>
          </cell>
          <cell r="AT1910" t="str">
            <v/>
          </cell>
          <cell r="AU1910" t="str">
            <v>10</v>
          </cell>
          <cell r="AV1910" t="str">
            <v>10</v>
          </cell>
          <cell r="AW1910">
            <v>0</v>
          </cell>
          <cell r="AX1910">
            <v>0</v>
          </cell>
          <cell r="AY1910">
            <v>0</v>
          </cell>
          <cell r="AZ1910">
            <v>0</v>
          </cell>
          <cell r="BA1910">
            <v>0</v>
          </cell>
          <cell r="BD1910" t="str">
            <v/>
          </cell>
          <cell r="BE1910">
            <v>1</v>
          </cell>
          <cell r="BG1910" t="str">
            <v>1100</v>
          </cell>
        </row>
        <row r="1911">
          <cell r="B1911" t="str">
            <v>G384220106100100</v>
          </cell>
          <cell r="C1911" t="str">
            <v>38.愛媛県</v>
          </cell>
          <cell r="D1911" t="str">
            <v>422</v>
          </cell>
          <cell r="E1911" t="str">
            <v>内子町</v>
          </cell>
          <cell r="F1911" t="str">
            <v>01</v>
          </cell>
          <cell r="G1911" t="str">
            <v>公共 単独</v>
          </cell>
          <cell r="H1911" t="str">
            <v>公共下水道</v>
          </cell>
          <cell r="I1911" t="str">
            <v>単独</v>
          </cell>
          <cell r="J1911" t="str">
            <v>001</v>
          </cell>
          <cell r="K1911" t="str">
            <v>内子町浄化センター</v>
          </cell>
          <cell r="M1911" t="str">
            <v>1</v>
          </cell>
          <cell r="N1911" t="str">
            <v>1</v>
          </cell>
          <cell r="Q1911">
            <v>36220</v>
          </cell>
          <cell r="R1911" t="str">
            <v>平成</v>
          </cell>
          <cell r="S1911">
            <v>11</v>
          </cell>
          <cell r="T1911">
            <v>3</v>
          </cell>
          <cell r="AB1911">
            <v>12800</v>
          </cell>
          <cell r="AC1911" t="str">
            <v>肱川水域甲</v>
          </cell>
          <cell r="AD1911" t="str">
            <v>Ａ</v>
          </cell>
          <cell r="AE1911" t="str">
            <v>ロ</v>
          </cell>
          <cell r="AF1911">
            <v>15</v>
          </cell>
          <cell r="AG1911">
            <v>20</v>
          </cell>
          <cell r="AH1911">
            <v>3</v>
          </cell>
          <cell r="AI1911" t="str">
            <v>旧郷之谷川</v>
          </cell>
          <cell r="AK1911" t="str">
            <v>小田川</v>
          </cell>
          <cell r="AQ1911" t="str">
            <v/>
          </cell>
          <cell r="AR1911" t="str">
            <v>オキシディションディッチ法</v>
          </cell>
          <cell r="AS1911" t="str">
            <v>3842201001</v>
          </cell>
          <cell r="AT1911" t="str">
            <v/>
          </cell>
          <cell r="AU1911" t="str">
            <v>10</v>
          </cell>
          <cell r="AV1911" t="str">
            <v>10</v>
          </cell>
          <cell r="AW1911">
            <v>0</v>
          </cell>
          <cell r="AX1911">
            <v>0</v>
          </cell>
          <cell r="AY1911">
            <v>0</v>
          </cell>
          <cell r="AZ1911">
            <v>0</v>
          </cell>
          <cell r="BA1911">
            <v>0</v>
          </cell>
          <cell r="BD1911" t="str">
            <v/>
          </cell>
          <cell r="BE1911">
            <v>1</v>
          </cell>
          <cell r="BG1911" t="str">
            <v>1100</v>
          </cell>
        </row>
        <row r="1912">
          <cell r="B1912" t="str">
            <v>G384420206100100</v>
          </cell>
          <cell r="C1912" t="str">
            <v>38.愛媛県</v>
          </cell>
          <cell r="D1912" t="str">
            <v>442</v>
          </cell>
          <cell r="E1912" t="str">
            <v>伊方町</v>
          </cell>
          <cell r="F1912" t="str">
            <v>02</v>
          </cell>
          <cell r="G1912" t="str">
            <v>特環 単独</v>
          </cell>
          <cell r="H1912" t="str">
            <v>特定環境保全公共下水道</v>
          </cell>
          <cell r="I1912" t="str">
            <v>単独</v>
          </cell>
          <cell r="J1912" t="str">
            <v>001</v>
          </cell>
          <cell r="K1912" t="str">
            <v>伊方浄化センター</v>
          </cell>
          <cell r="M1912" t="str">
            <v>1</v>
          </cell>
          <cell r="N1912" t="str">
            <v>1</v>
          </cell>
          <cell r="P1912" t="str">
            <v>1</v>
          </cell>
          <cell r="Q1912">
            <v>38838</v>
          </cell>
          <cell r="R1912" t="str">
            <v>平成</v>
          </cell>
          <cell r="S1912">
            <v>18</v>
          </cell>
          <cell r="T1912">
            <v>5</v>
          </cell>
          <cell r="AB1912">
            <v>8300</v>
          </cell>
          <cell r="AC1912" t="str">
            <v>宇和海一般伊方海域</v>
          </cell>
          <cell r="AD1912" t="str">
            <v>Ａ-Ⅱ</v>
          </cell>
          <cell r="AE1912" t="str">
            <v>イ</v>
          </cell>
          <cell r="AF1912">
            <v>15</v>
          </cell>
          <cell r="AG1912">
            <v>15</v>
          </cell>
          <cell r="AH1912">
            <v>1.5</v>
          </cell>
          <cell r="AI1912" t="str">
            <v>海域</v>
          </cell>
          <cell r="AQ1912" t="str">
            <v/>
          </cell>
          <cell r="AR1912" t="str">
            <v>オキシディションディッチ法</v>
          </cell>
          <cell r="AS1912" t="str">
            <v>3844202001</v>
          </cell>
          <cell r="AT1912" t="str">
            <v/>
          </cell>
          <cell r="AU1912" t="str">
            <v>10</v>
          </cell>
          <cell r="AV1912" t="str">
            <v>10</v>
          </cell>
          <cell r="AW1912">
            <v>1</v>
          </cell>
          <cell r="AX1912">
            <v>0</v>
          </cell>
          <cell r="AY1912">
            <v>0</v>
          </cell>
          <cell r="AZ1912">
            <v>0</v>
          </cell>
          <cell r="BA1912">
            <v>0</v>
          </cell>
          <cell r="BD1912" t="str">
            <v/>
          </cell>
          <cell r="BE1912">
            <v>1</v>
          </cell>
          <cell r="BG1912" t="str">
            <v>1101</v>
          </cell>
        </row>
        <row r="1913">
          <cell r="B1913" t="str">
            <v>G384420206100200</v>
          </cell>
          <cell r="C1913" t="str">
            <v>38.愛媛県</v>
          </cell>
          <cell r="D1913" t="str">
            <v>442</v>
          </cell>
          <cell r="E1913" t="str">
            <v>伊方町</v>
          </cell>
          <cell r="F1913" t="str">
            <v>02</v>
          </cell>
          <cell r="G1913" t="str">
            <v>特環 単独</v>
          </cell>
          <cell r="H1913" t="str">
            <v>特定環境保全公共下水道</v>
          </cell>
          <cell r="I1913" t="str">
            <v>単独</v>
          </cell>
          <cell r="J1913" t="str">
            <v>002</v>
          </cell>
          <cell r="K1913" t="str">
            <v>九町浄化センター</v>
          </cell>
          <cell r="M1913" t="str">
            <v>1</v>
          </cell>
          <cell r="N1913" t="str">
            <v>1</v>
          </cell>
          <cell r="P1913" t="str">
            <v>1</v>
          </cell>
          <cell r="Q1913">
            <v>40664</v>
          </cell>
          <cell r="R1913" t="str">
            <v>平成</v>
          </cell>
          <cell r="S1913">
            <v>23</v>
          </cell>
          <cell r="T1913">
            <v>5</v>
          </cell>
          <cell r="AB1913">
            <v>4700</v>
          </cell>
          <cell r="AC1913" t="str">
            <v>宇和海一般伊方海域</v>
          </cell>
          <cell r="AD1913" t="str">
            <v>Ａ-Ⅱ</v>
          </cell>
          <cell r="AE1913" t="str">
            <v>イ</v>
          </cell>
          <cell r="AF1913">
            <v>15</v>
          </cell>
          <cell r="AG1913">
            <v>15</v>
          </cell>
          <cell r="AH1913">
            <v>1.5</v>
          </cell>
          <cell r="AI1913" t="str">
            <v>海域</v>
          </cell>
          <cell r="AQ1913" t="str">
            <v/>
          </cell>
          <cell r="AR1913" t="str">
            <v>オキシディションディッチ法</v>
          </cell>
          <cell r="AS1913" t="str">
            <v>3844202002</v>
          </cell>
          <cell r="AT1913" t="str">
            <v/>
          </cell>
          <cell r="AU1913" t="str">
            <v>10</v>
          </cell>
          <cell r="AV1913" t="str">
            <v>10</v>
          </cell>
          <cell r="AW1913">
            <v>1</v>
          </cell>
          <cell r="AX1913">
            <v>0</v>
          </cell>
          <cell r="AY1913">
            <v>0</v>
          </cell>
          <cell r="AZ1913">
            <v>0</v>
          </cell>
          <cell r="BA1913">
            <v>0</v>
          </cell>
          <cell r="BD1913" t="str">
            <v/>
          </cell>
          <cell r="BE1913">
            <v>1</v>
          </cell>
          <cell r="BG1913" t="str">
            <v>1101</v>
          </cell>
        </row>
        <row r="1914">
          <cell r="B1914" t="str">
            <v>G390018106100100</v>
          </cell>
          <cell r="C1914" t="str">
            <v>39.高知県</v>
          </cell>
          <cell r="D1914" t="str">
            <v>001</v>
          </cell>
          <cell r="E1914" t="str">
            <v>浦戸湾東部流域</v>
          </cell>
          <cell r="F1914" t="str">
            <v>81</v>
          </cell>
          <cell r="G1914" t="str">
            <v>流域</v>
          </cell>
          <cell r="H1914" t="str">
            <v>流域下水道</v>
          </cell>
          <cell r="I1914" t="str">
            <v/>
          </cell>
          <cell r="J1914" t="str">
            <v>001</v>
          </cell>
          <cell r="K1914" t="str">
            <v>高須浄化センター</v>
          </cell>
          <cell r="M1914" t="str">
            <v>1</v>
          </cell>
          <cell r="N1914" t="str">
            <v>1</v>
          </cell>
          <cell r="Q1914">
            <v>32964</v>
          </cell>
          <cell r="R1914" t="str">
            <v>平成</v>
          </cell>
          <cell r="S1914">
            <v>2</v>
          </cell>
          <cell r="T1914">
            <v>4</v>
          </cell>
          <cell r="AB1914">
            <v>145900</v>
          </cell>
          <cell r="AC1914" t="str">
            <v>国分川下流</v>
          </cell>
          <cell r="AD1914" t="str">
            <v>Ｂ</v>
          </cell>
          <cell r="AE1914" t="str">
            <v>ロ</v>
          </cell>
          <cell r="AF1914">
            <v>12</v>
          </cell>
          <cell r="AG1914">
            <v>19</v>
          </cell>
          <cell r="AH1914">
            <v>2.9</v>
          </cell>
          <cell r="AJ1914" t="str">
            <v>国分川</v>
          </cell>
          <cell r="AL1914" t="str">
            <v>なし</v>
          </cell>
          <cell r="AQ1914" t="str">
            <v/>
          </cell>
          <cell r="AR1914" t="str">
            <v>ステップ流入式多段硝化脱窒法</v>
          </cell>
          <cell r="AS1914" t="str">
            <v>3900181001</v>
          </cell>
          <cell r="AT1914" t="str">
            <v/>
          </cell>
          <cell r="AU1914" t="str">
            <v>10</v>
          </cell>
          <cell r="AV1914" t="str">
            <v>10</v>
          </cell>
          <cell r="AW1914">
            <v>0</v>
          </cell>
          <cell r="AX1914">
            <v>0</v>
          </cell>
          <cell r="AY1914">
            <v>0</v>
          </cell>
          <cell r="AZ1914">
            <v>0</v>
          </cell>
          <cell r="BA1914">
            <v>0</v>
          </cell>
          <cell r="BD1914" t="str">
            <v/>
          </cell>
          <cell r="BE1914">
            <v>1</v>
          </cell>
          <cell r="BG1914" t="str">
            <v>1100</v>
          </cell>
        </row>
        <row r="1915">
          <cell r="B1915" t="str">
            <v>G392010106100100</v>
          </cell>
          <cell r="C1915" t="str">
            <v>39.高知県</v>
          </cell>
          <cell r="D1915" t="str">
            <v>201</v>
          </cell>
          <cell r="E1915" t="str">
            <v>高知市</v>
          </cell>
          <cell r="F1915" t="str">
            <v>01</v>
          </cell>
          <cell r="G1915" t="str">
            <v>公共 単独</v>
          </cell>
          <cell r="H1915" t="str">
            <v>公共下水道</v>
          </cell>
          <cell r="I1915" t="str">
            <v>単独</v>
          </cell>
          <cell r="J1915" t="str">
            <v>001</v>
          </cell>
          <cell r="K1915" t="str">
            <v>下知下水処理場</v>
          </cell>
          <cell r="M1915" t="str">
            <v>1</v>
          </cell>
          <cell r="Q1915">
            <v>25477</v>
          </cell>
          <cell r="R1915" t="str">
            <v>昭和</v>
          </cell>
          <cell r="S1915">
            <v>44</v>
          </cell>
          <cell r="T1915">
            <v>10</v>
          </cell>
          <cell r="AB1915">
            <v>107700</v>
          </cell>
          <cell r="AC1915" t="str">
            <v>江ノ口川水域，国分川水域</v>
          </cell>
          <cell r="AD1915" t="str">
            <v>Ｃ-Ｂ</v>
          </cell>
          <cell r="AE1915" t="str">
            <v>ロ</v>
          </cell>
          <cell r="AF1915">
            <v>12</v>
          </cell>
          <cell r="AG1915">
            <v>14</v>
          </cell>
          <cell r="AH1915">
            <v>1.2</v>
          </cell>
          <cell r="AJ1915" t="str">
            <v>江ノ口川，国分川</v>
          </cell>
          <cell r="AL1915" t="str">
            <v>鏡川第一</v>
          </cell>
          <cell r="AM1915">
            <v>6</v>
          </cell>
          <cell r="AO1915" t="str">
            <v>高知市</v>
          </cell>
          <cell r="AQ1915" t="str">
            <v/>
          </cell>
          <cell r="AR1915" t="str">
            <v>標準活性汚泥法</v>
          </cell>
          <cell r="AS1915" t="str">
            <v>3920101001</v>
          </cell>
          <cell r="AT1915" t="str">
            <v/>
          </cell>
          <cell r="AU1915" t="str">
            <v>00</v>
          </cell>
          <cell r="AV1915" t="str">
            <v>00</v>
          </cell>
          <cell r="AW1915">
            <v>0</v>
          </cell>
          <cell r="AX1915">
            <v>0</v>
          </cell>
          <cell r="AY1915">
            <v>0</v>
          </cell>
          <cell r="AZ1915">
            <v>0</v>
          </cell>
          <cell r="BA1915">
            <v>0</v>
          </cell>
          <cell r="BD1915" t="str">
            <v/>
          </cell>
          <cell r="BE1915">
            <v>1</v>
          </cell>
          <cell r="BG1915" t="str">
            <v>1000</v>
          </cell>
        </row>
        <row r="1916">
          <cell r="B1916" t="str">
            <v>G392010106100200</v>
          </cell>
          <cell r="C1916" t="str">
            <v>39.高知県</v>
          </cell>
          <cell r="D1916" t="str">
            <v>201</v>
          </cell>
          <cell r="E1916" t="str">
            <v>高知市</v>
          </cell>
          <cell r="F1916" t="str">
            <v>01</v>
          </cell>
          <cell r="G1916" t="str">
            <v>公共 単独</v>
          </cell>
          <cell r="H1916" t="str">
            <v>公共下水道</v>
          </cell>
          <cell r="I1916" t="str">
            <v>単独</v>
          </cell>
          <cell r="J1916" t="str">
            <v>002</v>
          </cell>
          <cell r="K1916" t="str">
            <v>潮江下水処理場</v>
          </cell>
          <cell r="M1916" t="str">
            <v>1</v>
          </cell>
          <cell r="Q1916">
            <v>30225</v>
          </cell>
          <cell r="R1916" t="str">
            <v>昭和</v>
          </cell>
          <cell r="S1916">
            <v>57</v>
          </cell>
          <cell r="T1916">
            <v>10</v>
          </cell>
          <cell r="AB1916">
            <v>49000</v>
          </cell>
          <cell r="AC1916" t="str">
            <v>高知港（乙）</v>
          </cell>
          <cell r="AD1916" t="str">
            <v>Ｂ</v>
          </cell>
          <cell r="AE1916" t="str">
            <v>ロ</v>
          </cell>
          <cell r="AF1916">
            <v>12</v>
          </cell>
          <cell r="AG1916">
            <v>14</v>
          </cell>
          <cell r="AH1916">
            <v>1.2</v>
          </cell>
          <cell r="AI1916" t="str">
            <v>浦戸湾</v>
          </cell>
          <cell r="AL1916" t="str">
            <v>鏡川第一</v>
          </cell>
          <cell r="AM1916">
            <v>5</v>
          </cell>
          <cell r="AO1916" t="str">
            <v>高知市</v>
          </cell>
          <cell r="AQ1916" t="str">
            <v/>
          </cell>
          <cell r="AR1916" t="str">
            <v>標準活性汚泥法</v>
          </cell>
          <cell r="AS1916" t="str">
            <v>3920101002</v>
          </cell>
          <cell r="AT1916" t="str">
            <v/>
          </cell>
          <cell r="AU1916" t="str">
            <v>00</v>
          </cell>
          <cell r="AV1916" t="str">
            <v>00</v>
          </cell>
          <cell r="AW1916">
            <v>0</v>
          </cell>
          <cell r="AX1916">
            <v>0</v>
          </cell>
          <cell r="AY1916">
            <v>0</v>
          </cell>
          <cell r="AZ1916">
            <v>0</v>
          </cell>
          <cell r="BA1916">
            <v>0</v>
          </cell>
          <cell r="BD1916" t="str">
            <v/>
          </cell>
          <cell r="BE1916">
            <v>1</v>
          </cell>
          <cell r="BG1916" t="str">
            <v>1000</v>
          </cell>
        </row>
        <row r="1917">
          <cell r="B1917" t="str">
            <v>G392010106100300</v>
          </cell>
          <cell r="C1917" t="str">
            <v>39.高知県</v>
          </cell>
          <cell r="D1917" t="str">
            <v>201</v>
          </cell>
          <cell r="E1917" t="str">
            <v>高知市</v>
          </cell>
          <cell r="F1917" t="str">
            <v>01</v>
          </cell>
          <cell r="G1917" t="str">
            <v>公共 単独</v>
          </cell>
          <cell r="H1917" t="str">
            <v>公共下水道</v>
          </cell>
          <cell r="I1917" t="str">
            <v>単独</v>
          </cell>
          <cell r="J1917" t="str">
            <v>003</v>
          </cell>
          <cell r="K1917" t="str">
            <v>瀬戸下水処理場</v>
          </cell>
          <cell r="M1917" t="str">
            <v>1</v>
          </cell>
          <cell r="N1917" t="str">
            <v>1</v>
          </cell>
          <cell r="Q1917">
            <v>31868</v>
          </cell>
          <cell r="R1917" t="str">
            <v>昭和</v>
          </cell>
          <cell r="S1917">
            <v>62</v>
          </cell>
          <cell r="T1917">
            <v>4</v>
          </cell>
          <cell r="AB1917">
            <v>16100</v>
          </cell>
          <cell r="AC1917" t="str">
            <v>高知港（乙）</v>
          </cell>
          <cell r="AD1917" t="str">
            <v>Ｂ</v>
          </cell>
          <cell r="AE1917" t="str">
            <v>ロ</v>
          </cell>
          <cell r="AF1917">
            <v>15</v>
          </cell>
          <cell r="AI1917" t="str">
            <v>浦戸湾</v>
          </cell>
          <cell r="AL1917" t="str">
            <v>鏡川第一</v>
          </cell>
          <cell r="AM1917">
            <v>9</v>
          </cell>
          <cell r="AO1917" t="str">
            <v>高知市</v>
          </cell>
          <cell r="AQ1917" t="str">
            <v/>
          </cell>
          <cell r="AR1917" t="str">
            <v>標準活性汚泥法</v>
          </cell>
          <cell r="AS1917" t="str">
            <v>3920101003</v>
          </cell>
          <cell r="AT1917" t="str">
            <v/>
          </cell>
          <cell r="AU1917" t="str">
            <v>10</v>
          </cell>
          <cell r="AV1917" t="str">
            <v>10</v>
          </cell>
          <cell r="AW1917">
            <v>0</v>
          </cell>
          <cell r="AX1917">
            <v>0</v>
          </cell>
          <cell r="AY1917">
            <v>0</v>
          </cell>
          <cell r="AZ1917">
            <v>0</v>
          </cell>
          <cell r="BA1917">
            <v>0</v>
          </cell>
          <cell r="BD1917" t="str">
            <v/>
          </cell>
          <cell r="BE1917">
            <v>1</v>
          </cell>
          <cell r="BG1917" t="str">
            <v>1100</v>
          </cell>
        </row>
        <row r="1918">
          <cell r="B1918" t="str">
            <v>G392030106100100</v>
          </cell>
          <cell r="C1918" t="str">
            <v>39.高知県</v>
          </cell>
          <cell r="D1918" t="str">
            <v>203</v>
          </cell>
          <cell r="E1918" t="str">
            <v>安芸市</v>
          </cell>
          <cell r="F1918" t="str">
            <v>01</v>
          </cell>
          <cell r="G1918" t="str">
            <v>公共 単独</v>
          </cell>
          <cell r="H1918" t="str">
            <v>公共下水道</v>
          </cell>
          <cell r="I1918" t="str">
            <v>単独</v>
          </cell>
          <cell r="J1918" t="str">
            <v>001</v>
          </cell>
          <cell r="K1918" t="str">
            <v>安芸市浄化センター</v>
          </cell>
          <cell r="M1918" t="str">
            <v>1</v>
          </cell>
          <cell r="N1918" t="str">
            <v>1</v>
          </cell>
          <cell r="Q1918">
            <v>35582</v>
          </cell>
          <cell r="R1918" t="str">
            <v>平成</v>
          </cell>
          <cell r="S1918">
            <v>9</v>
          </cell>
          <cell r="T1918">
            <v>6</v>
          </cell>
          <cell r="AB1918">
            <v>27700</v>
          </cell>
          <cell r="AC1918" t="str">
            <v>安芸川</v>
          </cell>
          <cell r="AD1918" t="str">
            <v>ＡＡ</v>
          </cell>
          <cell r="AE1918" t="str">
            <v>イ</v>
          </cell>
          <cell r="AF1918">
            <v>15</v>
          </cell>
          <cell r="AI1918" t="str">
            <v>江ノ川</v>
          </cell>
          <cell r="AJ1918" t="str">
            <v>安芸川</v>
          </cell>
          <cell r="AL1918" t="str">
            <v>安芸</v>
          </cell>
          <cell r="AM1918">
            <v>2</v>
          </cell>
          <cell r="AO1918" t="str">
            <v>安芸市</v>
          </cell>
          <cell r="AQ1918" t="str">
            <v/>
          </cell>
          <cell r="AR1918" t="str">
            <v>標準活性汚泥法</v>
          </cell>
          <cell r="AS1918" t="str">
            <v>3920301001</v>
          </cell>
          <cell r="AT1918" t="str">
            <v/>
          </cell>
          <cell r="AU1918" t="str">
            <v>10</v>
          </cell>
          <cell r="AV1918" t="str">
            <v>10</v>
          </cell>
          <cell r="AW1918">
            <v>0</v>
          </cell>
          <cell r="AX1918">
            <v>0</v>
          </cell>
          <cell r="AY1918">
            <v>0</v>
          </cell>
          <cell r="AZ1918">
            <v>0</v>
          </cell>
          <cell r="BA1918">
            <v>0</v>
          </cell>
          <cell r="BD1918" t="str">
            <v/>
          </cell>
          <cell r="BE1918">
            <v>1</v>
          </cell>
          <cell r="BG1918" t="str">
            <v>1100</v>
          </cell>
        </row>
        <row r="1919">
          <cell r="B1919" t="str">
            <v>G392040106100100</v>
          </cell>
          <cell r="C1919" t="str">
            <v>39.高知県</v>
          </cell>
          <cell r="D1919" t="str">
            <v>204</v>
          </cell>
          <cell r="E1919" t="str">
            <v>南国市</v>
          </cell>
          <cell r="F1919" t="str">
            <v>01</v>
          </cell>
          <cell r="G1919" t="str">
            <v>公共 単独</v>
          </cell>
          <cell r="H1919" t="str">
            <v>公共下水道</v>
          </cell>
          <cell r="I1919" t="str">
            <v>単独</v>
          </cell>
          <cell r="J1919" t="str">
            <v>001</v>
          </cell>
          <cell r="K1919" t="str">
            <v>十市浄化センター</v>
          </cell>
          <cell r="M1919" t="str">
            <v>1</v>
          </cell>
          <cell r="N1919" t="str">
            <v>1</v>
          </cell>
          <cell r="Q1919">
            <v>32964</v>
          </cell>
          <cell r="R1919" t="str">
            <v>平成</v>
          </cell>
          <cell r="S1919">
            <v>2</v>
          </cell>
          <cell r="T1919">
            <v>4</v>
          </cell>
          <cell r="AB1919">
            <v>6770</v>
          </cell>
          <cell r="AC1919" t="str">
            <v>設定なし</v>
          </cell>
          <cell r="AF1919">
            <v>20</v>
          </cell>
          <cell r="AJ1919" t="str">
            <v>東沢川</v>
          </cell>
          <cell r="AL1919" t="str">
            <v>南部水源地</v>
          </cell>
          <cell r="AM1919">
            <v>0.9</v>
          </cell>
          <cell r="AO1919" t="str">
            <v>南国市</v>
          </cell>
          <cell r="AQ1919" t="str">
            <v/>
          </cell>
          <cell r="AR1919" t="str">
            <v>オキシディションディッチ法</v>
          </cell>
          <cell r="AS1919" t="str">
            <v>3920401001</v>
          </cell>
          <cell r="AT1919" t="str">
            <v/>
          </cell>
          <cell r="AU1919" t="str">
            <v>10</v>
          </cell>
          <cell r="AV1919" t="str">
            <v>10</v>
          </cell>
          <cell r="AW1919">
            <v>0</v>
          </cell>
          <cell r="AX1919">
            <v>0</v>
          </cell>
          <cell r="AY1919">
            <v>0</v>
          </cell>
          <cell r="AZ1919">
            <v>0</v>
          </cell>
          <cell r="BA1919">
            <v>0</v>
          </cell>
          <cell r="BD1919" t="str">
            <v/>
          </cell>
          <cell r="BE1919">
            <v>1</v>
          </cell>
          <cell r="BG1919" t="str">
            <v>1100</v>
          </cell>
        </row>
        <row r="1920">
          <cell r="B1920" t="str">
            <v>G392060106100100</v>
          </cell>
          <cell r="C1920" t="str">
            <v>39.高知県</v>
          </cell>
          <cell r="D1920" t="str">
            <v>206</v>
          </cell>
          <cell r="E1920" t="str">
            <v>須崎市</v>
          </cell>
          <cell r="F1920" t="str">
            <v>01</v>
          </cell>
          <cell r="G1920" t="str">
            <v>公共 単独</v>
          </cell>
          <cell r="H1920" t="str">
            <v>公共下水道</v>
          </cell>
          <cell r="I1920" t="str">
            <v>単独</v>
          </cell>
          <cell r="J1920" t="str">
            <v>001</v>
          </cell>
          <cell r="K1920" t="str">
            <v>須崎市終末処理場</v>
          </cell>
          <cell r="M1920" t="str">
            <v>1</v>
          </cell>
          <cell r="N1920" t="str">
            <v>1</v>
          </cell>
          <cell r="Q1920">
            <v>34973</v>
          </cell>
          <cell r="R1920" t="str">
            <v>平成</v>
          </cell>
          <cell r="S1920">
            <v>7</v>
          </cell>
          <cell r="T1920">
            <v>10</v>
          </cell>
          <cell r="AB1920">
            <v>37520</v>
          </cell>
          <cell r="AC1920" t="str">
            <v>海域</v>
          </cell>
          <cell r="AD1920" t="str">
            <v>Ｂ</v>
          </cell>
          <cell r="AE1920" t="str">
            <v>イ</v>
          </cell>
          <cell r="AF1920">
            <v>15</v>
          </cell>
          <cell r="AI1920" t="str">
            <v>須崎港（海域）</v>
          </cell>
          <cell r="AQ1920" t="str">
            <v/>
          </cell>
          <cell r="AR1920" t="str">
            <v>標準活性汚泥法</v>
          </cell>
          <cell r="AS1920" t="str">
            <v>3920601001</v>
          </cell>
          <cell r="AT1920" t="str">
            <v/>
          </cell>
          <cell r="AU1920" t="str">
            <v>10</v>
          </cell>
          <cell r="AV1920" t="str">
            <v>10</v>
          </cell>
          <cell r="AW1920">
            <v>0</v>
          </cell>
          <cell r="AX1920">
            <v>0</v>
          </cell>
          <cell r="AY1920">
            <v>0</v>
          </cell>
          <cell r="AZ1920">
            <v>0</v>
          </cell>
          <cell r="BA1920">
            <v>0</v>
          </cell>
          <cell r="BD1920" t="str">
            <v/>
          </cell>
          <cell r="BE1920">
            <v>1</v>
          </cell>
          <cell r="BG1920" t="str">
            <v>1100</v>
          </cell>
        </row>
        <row r="1921">
          <cell r="B1921" t="str">
            <v>G392080106100100</v>
          </cell>
          <cell r="C1921" t="str">
            <v>39.高知県</v>
          </cell>
          <cell r="D1921" t="str">
            <v>208</v>
          </cell>
          <cell r="E1921" t="str">
            <v>宿毛市</v>
          </cell>
          <cell r="F1921" t="str">
            <v>01</v>
          </cell>
          <cell r="G1921" t="str">
            <v>公共 単独</v>
          </cell>
          <cell r="H1921" t="str">
            <v>公共下水道</v>
          </cell>
          <cell r="I1921" t="str">
            <v>単独</v>
          </cell>
          <cell r="J1921" t="str">
            <v>001</v>
          </cell>
          <cell r="K1921" t="str">
            <v>宿毛クリーンセンター</v>
          </cell>
          <cell r="M1921" t="str">
            <v>1</v>
          </cell>
          <cell r="N1921" t="str">
            <v>1</v>
          </cell>
          <cell r="Q1921">
            <v>37345</v>
          </cell>
          <cell r="R1921" t="str">
            <v>平成</v>
          </cell>
          <cell r="S1921">
            <v>14</v>
          </cell>
          <cell r="T1921">
            <v>3</v>
          </cell>
          <cell r="AB1921">
            <v>26100</v>
          </cell>
          <cell r="AF1921">
            <v>15</v>
          </cell>
          <cell r="AJ1921" t="str">
            <v>松田川</v>
          </cell>
          <cell r="AL1921" t="str">
            <v>宿毛上水道水源地</v>
          </cell>
          <cell r="AM1921">
            <v>5</v>
          </cell>
          <cell r="AO1921" t="str">
            <v>宿毛市</v>
          </cell>
          <cell r="AQ1921" t="str">
            <v/>
          </cell>
          <cell r="AR1921" t="str">
            <v>標準活性汚泥法</v>
          </cell>
          <cell r="AS1921" t="str">
            <v>3920801001</v>
          </cell>
          <cell r="AT1921" t="str">
            <v/>
          </cell>
          <cell r="AU1921" t="str">
            <v>10</v>
          </cell>
          <cell r="AV1921" t="str">
            <v>10</v>
          </cell>
          <cell r="AW1921">
            <v>0</v>
          </cell>
          <cell r="AX1921">
            <v>0</v>
          </cell>
          <cell r="AY1921">
            <v>0</v>
          </cell>
          <cell r="AZ1921">
            <v>0</v>
          </cell>
          <cell r="BA1921">
            <v>0</v>
          </cell>
          <cell r="BD1921" t="str">
            <v/>
          </cell>
          <cell r="BE1921">
            <v>1</v>
          </cell>
          <cell r="BG1921" t="str">
            <v>1100</v>
          </cell>
        </row>
        <row r="1922">
          <cell r="B1922" t="str">
            <v>G392100106100100</v>
          </cell>
          <cell r="C1922" t="str">
            <v>39.高知県</v>
          </cell>
          <cell r="D1922" t="str">
            <v>210</v>
          </cell>
          <cell r="E1922" t="str">
            <v>四万十市</v>
          </cell>
          <cell r="F1922" t="str">
            <v>01</v>
          </cell>
          <cell r="G1922" t="str">
            <v>公共 単独</v>
          </cell>
          <cell r="H1922" t="str">
            <v>公共下水道</v>
          </cell>
          <cell r="I1922" t="str">
            <v>単独</v>
          </cell>
          <cell r="J1922" t="str">
            <v>001</v>
          </cell>
          <cell r="K1922" t="str">
            <v>中村中央下水道管理センター</v>
          </cell>
          <cell r="M1922" t="str">
            <v>1</v>
          </cell>
          <cell r="N1922" t="str">
            <v>1</v>
          </cell>
          <cell r="Q1922">
            <v>35156</v>
          </cell>
          <cell r="R1922" t="str">
            <v>平成</v>
          </cell>
          <cell r="S1922">
            <v>8</v>
          </cell>
          <cell r="T1922">
            <v>4</v>
          </cell>
          <cell r="U1922" t="str">
            <v>名称変更</v>
          </cell>
          <cell r="V1922">
            <v>38777</v>
          </cell>
          <cell r="W1922" t="str">
            <v>平成</v>
          </cell>
          <cell r="X1922">
            <v>18</v>
          </cell>
          <cell r="Y1922">
            <v>3</v>
          </cell>
          <cell r="Z1922" t="str">
            <v>中村市中央下水道管理センター</v>
          </cell>
          <cell r="AB1922">
            <v>27550</v>
          </cell>
          <cell r="AC1922" t="str">
            <v>後川</v>
          </cell>
          <cell r="AD1922" t="str">
            <v>Ａ</v>
          </cell>
          <cell r="AE1922" t="str">
            <v>イ</v>
          </cell>
          <cell r="AF1922">
            <v>15</v>
          </cell>
          <cell r="AK1922" t="str">
            <v>後川</v>
          </cell>
          <cell r="AQ1922" t="str">
            <v/>
          </cell>
          <cell r="AR1922" t="str">
            <v>標準活性汚泥法</v>
          </cell>
          <cell r="AS1922" t="str">
            <v>3921001001</v>
          </cell>
          <cell r="AT1922" t="str">
            <v/>
          </cell>
          <cell r="AU1922" t="str">
            <v>10</v>
          </cell>
          <cell r="AV1922" t="str">
            <v>10</v>
          </cell>
          <cell r="AW1922">
            <v>0</v>
          </cell>
          <cell r="AX1922">
            <v>0</v>
          </cell>
          <cell r="AY1922">
            <v>0</v>
          </cell>
          <cell r="AZ1922">
            <v>0</v>
          </cell>
          <cell r="BA1922">
            <v>0</v>
          </cell>
          <cell r="BD1922" t="str">
            <v/>
          </cell>
          <cell r="BE1922">
            <v>1</v>
          </cell>
          <cell r="BG1922" t="str">
            <v>1100</v>
          </cell>
        </row>
        <row r="1923">
          <cell r="B1923" t="str">
            <v>G392110106100100</v>
          </cell>
          <cell r="C1923" t="str">
            <v>39.高知県</v>
          </cell>
          <cell r="D1923" t="str">
            <v>211</v>
          </cell>
          <cell r="E1923" t="str">
            <v>香南市</v>
          </cell>
          <cell r="F1923" t="str">
            <v>01</v>
          </cell>
          <cell r="G1923" t="str">
            <v>公共 単独</v>
          </cell>
          <cell r="H1923" t="str">
            <v>公共下水道</v>
          </cell>
          <cell r="I1923" t="str">
            <v>単独</v>
          </cell>
          <cell r="J1923" t="str">
            <v>001</v>
          </cell>
          <cell r="K1923" t="str">
            <v>野市浄化センター</v>
          </cell>
          <cell r="M1923" t="str">
            <v>1</v>
          </cell>
          <cell r="N1923" t="str">
            <v>1</v>
          </cell>
          <cell r="P1923" t="str">
            <v>1</v>
          </cell>
          <cell r="Q1923">
            <v>37710</v>
          </cell>
          <cell r="R1923" t="str">
            <v>平成</v>
          </cell>
          <cell r="S1923">
            <v>15</v>
          </cell>
          <cell r="T1923">
            <v>3</v>
          </cell>
          <cell r="AB1923">
            <v>23017</v>
          </cell>
          <cell r="AC1923" t="str">
            <v>中土佐地先海域関連水域</v>
          </cell>
          <cell r="AD1923" t="str">
            <v>Ａ</v>
          </cell>
          <cell r="AE1923" t="str">
            <v>イ</v>
          </cell>
          <cell r="AF1923">
            <v>10</v>
          </cell>
          <cell r="AJ1923" t="str">
            <v>香宗川</v>
          </cell>
          <cell r="AQ1923" t="str">
            <v/>
          </cell>
          <cell r="AR1923" t="str">
            <v>オキシディションディッチ法</v>
          </cell>
          <cell r="AS1923" t="str">
            <v>3921101001</v>
          </cell>
          <cell r="AT1923" t="str">
            <v/>
          </cell>
          <cell r="AU1923" t="str">
            <v>10</v>
          </cell>
          <cell r="AV1923" t="str">
            <v>10</v>
          </cell>
          <cell r="AW1923">
            <v>1</v>
          </cell>
          <cell r="AX1923">
            <v>0</v>
          </cell>
          <cell r="AY1923">
            <v>0</v>
          </cell>
          <cell r="AZ1923">
            <v>0</v>
          </cell>
          <cell r="BA1923">
            <v>0</v>
          </cell>
          <cell r="BD1923" t="str">
            <v/>
          </cell>
          <cell r="BE1923">
            <v>1</v>
          </cell>
          <cell r="BG1923" t="str">
            <v>1101</v>
          </cell>
        </row>
        <row r="1924">
          <cell r="B1924" t="str">
            <v>G392110206100200</v>
          </cell>
          <cell r="C1924" t="str">
            <v>39.高知県</v>
          </cell>
          <cell r="D1924" t="str">
            <v>211</v>
          </cell>
          <cell r="E1924" t="str">
            <v>香南市</v>
          </cell>
          <cell r="F1924" t="str">
            <v>02</v>
          </cell>
          <cell r="G1924" t="str">
            <v>特環 単独</v>
          </cell>
          <cell r="H1924" t="str">
            <v>特定環境保全公共下水道</v>
          </cell>
          <cell r="I1924" t="str">
            <v>単独</v>
          </cell>
          <cell r="J1924" t="str">
            <v>002</v>
          </cell>
          <cell r="K1924" t="str">
            <v>夜須浄化センター</v>
          </cell>
          <cell r="M1924" t="str">
            <v>1</v>
          </cell>
          <cell r="N1924" t="str">
            <v>1</v>
          </cell>
          <cell r="P1924" t="str">
            <v>1</v>
          </cell>
          <cell r="Q1924">
            <v>33329</v>
          </cell>
          <cell r="R1924" t="str">
            <v>平成</v>
          </cell>
          <cell r="S1924">
            <v>3</v>
          </cell>
          <cell r="T1924">
            <v>4</v>
          </cell>
          <cell r="AB1924">
            <v>9125</v>
          </cell>
          <cell r="AC1924" t="str">
            <v>中土佐地先海域関連水域</v>
          </cell>
          <cell r="AD1924" t="str">
            <v>Ａ</v>
          </cell>
          <cell r="AE1924" t="str">
            <v>イ</v>
          </cell>
          <cell r="AF1924">
            <v>15</v>
          </cell>
          <cell r="AJ1924" t="str">
            <v>夜須川</v>
          </cell>
          <cell r="AQ1924" t="str">
            <v/>
          </cell>
          <cell r="AR1924" t="str">
            <v>オキシディションディッチ法</v>
          </cell>
          <cell r="AS1924" t="str">
            <v>3921102002</v>
          </cell>
          <cell r="AT1924" t="str">
            <v/>
          </cell>
          <cell r="AU1924" t="str">
            <v>10</v>
          </cell>
          <cell r="AV1924" t="str">
            <v>10</v>
          </cell>
          <cell r="AW1924">
            <v>1</v>
          </cell>
          <cell r="AX1924">
            <v>0</v>
          </cell>
          <cell r="AY1924">
            <v>0</v>
          </cell>
          <cell r="AZ1924">
            <v>0</v>
          </cell>
          <cell r="BA1924">
            <v>0</v>
          </cell>
          <cell r="BD1924" t="str">
            <v/>
          </cell>
          <cell r="BE1924">
            <v>1</v>
          </cell>
          <cell r="BG1924" t="str">
            <v>1101</v>
          </cell>
        </row>
        <row r="1925">
          <cell r="B1925" t="str">
            <v>G392110206100300</v>
          </cell>
          <cell r="C1925" t="str">
            <v>39.高知県</v>
          </cell>
          <cell r="D1925" t="str">
            <v>211</v>
          </cell>
          <cell r="E1925" t="str">
            <v>香南市</v>
          </cell>
          <cell r="F1925" t="str">
            <v>02</v>
          </cell>
          <cell r="G1925" t="str">
            <v>特環 単独</v>
          </cell>
          <cell r="H1925" t="str">
            <v>特定環境保全公共下水道</v>
          </cell>
          <cell r="I1925" t="str">
            <v>単独</v>
          </cell>
          <cell r="J1925" t="str">
            <v>003</v>
          </cell>
          <cell r="K1925" t="str">
            <v>岸本浄化センター</v>
          </cell>
          <cell r="M1925" t="str">
            <v>1</v>
          </cell>
          <cell r="N1925" t="str">
            <v>1</v>
          </cell>
          <cell r="Q1925">
            <v>37408</v>
          </cell>
          <cell r="R1925" t="str">
            <v>平成</v>
          </cell>
          <cell r="S1925">
            <v>14</v>
          </cell>
          <cell r="T1925">
            <v>6</v>
          </cell>
          <cell r="AB1925">
            <v>3800</v>
          </cell>
          <cell r="AF1925">
            <v>10</v>
          </cell>
          <cell r="AI1925" t="str">
            <v>岸本川</v>
          </cell>
          <cell r="AQ1925" t="str">
            <v/>
          </cell>
          <cell r="AR1925" t="str">
            <v>オキシディションディッチ法</v>
          </cell>
          <cell r="AS1925" t="str">
            <v>3921102003</v>
          </cell>
          <cell r="AT1925" t="str">
            <v/>
          </cell>
          <cell r="AU1925" t="str">
            <v>10</v>
          </cell>
          <cell r="AV1925" t="str">
            <v>10</v>
          </cell>
          <cell r="AW1925">
            <v>0</v>
          </cell>
          <cell r="AX1925">
            <v>0</v>
          </cell>
          <cell r="AY1925">
            <v>0</v>
          </cell>
          <cell r="AZ1925">
            <v>0</v>
          </cell>
          <cell r="BA1925">
            <v>0</v>
          </cell>
          <cell r="BD1925" t="str">
            <v/>
          </cell>
          <cell r="BE1925">
            <v>1</v>
          </cell>
          <cell r="BG1925" t="str">
            <v>1100</v>
          </cell>
        </row>
        <row r="1926">
          <cell r="B1926" t="str">
            <v>G392120206100100</v>
          </cell>
          <cell r="C1926" t="str">
            <v>39.高知県</v>
          </cell>
          <cell r="D1926" t="str">
            <v>212</v>
          </cell>
          <cell r="E1926" t="str">
            <v>香美市</v>
          </cell>
          <cell r="F1926" t="str">
            <v>02</v>
          </cell>
          <cell r="G1926" t="str">
            <v>特環 単独</v>
          </cell>
          <cell r="H1926" t="str">
            <v>特定環境保全公共下水道</v>
          </cell>
          <cell r="I1926" t="str">
            <v>単独</v>
          </cell>
          <cell r="J1926" t="str">
            <v>001</v>
          </cell>
          <cell r="K1926" t="str">
            <v>美良布クリーンセンター</v>
          </cell>
          <cell r="M1926" t="str">
            <v>1</v>
          </cell>
          <cell r="N1926" t="str">
            <v>1</v>
          </cell>
          <cell r="Q1926">
            <v>37681</v>
          </cell>
          <cell r="R1926" t="str">
            <v>平成</v>
          </cell>
          <cell r="S1926">
            <v>15</v>
          </cell>
          <cell r="T1926">
            <v>3</v>
          </cell>
          <cell r="AB1926">
            <v>6040</v>
          </cell>
          <cell r="AC1926" t="str">
            <v>物部川流域</v>
          </cell>
          <cell r="AD1926" t="str">
            <v>Ａ</v>
          </cell>
          <cell r="AE1926" t="str">
            <v>イ</v>
          </cell>
          <cell r="AF1926">
            <v>15</v>
          </cell>
          <cell r="AK1926" t="str">
            <v>物部川</v>
          </cell>
          <cell r="AL1926" t="str">
            <v>戸板島水源地</v>
          </cell>
          <cell r="AN1926">
            <v>10</v>
          </cell>
          <cell r="AO1926" t="str">
            <v>香美市</v>
          </cell>
          <cell r="AQ1926" t="str">
            <v/>
          </cell>
          <cell r="AR1926" t="str">
            <v>オキシディションディッチ法</v>
          </cell>
          <cell r="AS1926" t="str">
            <v>3921202001</v>
          </cell>
          <cell r="AT1926" t="str">
            <v/>
          </cell>
          <cell r="AU1926" t="str">
            <v>10</v>
          </cell>
          <cell r="AV1926" t="str">
            <v>10</v>
          </cell>
          <cell r="AW1926">
            <v>0</v>
          </cell>
          <cell r="AX1926">
            <v>0</v>
          </cell>
          <cell r="AY1926">
            <v>0</v>
          </cell>
          <cell r="AZ1926">
            <v>0</v>
          </cell>
          <cell r="BA1926">
            <v>0</v>
          </cell>
          <cell r="BD1926" t="str">
            <v/>
          </cell>
          <cell r="BE1926">
            <v>1</v>
          </cell>
          <cell r="BG1926" t="str">
            <v>1100</v>
          </cell>
        </row>
        <row r="1927">
          <cell r="B1927" t="str">
            <v>G393010206100100</v>
          </cell>
          <cell r="C1927" t="str">
            <v>39.高知県</v>
          </cell>
          <cell r="D1927" t="str">
            <v>301</v>
          </cell>
          <cell r="E1927" t="str">
            <v>東洋町</v>
          </cell>
          <cell r="F1927" t="str">
            <v>02</v>
          </cell>
          <cell r="G1927" t="str">
            <v>特環 単独</v>
          </cell>
          <cell r="H1927" t="str">
            <v>特定環境保全公共下水道</v>
          </cell>
          <cell r="I1927" t="str">
            <v>単独</v>
          </cell>
          <cell r="J1927" t="str">
            <v>001</v>
          </cell>
          <cell r="K1927" t="str">
            <v>甲浦浄化センター</v>
          </cell>
          <cell r="M1927" t="str">
            <v>1</v>
          </cell>
          <cell r="N1927" t="str">
            <v>1</v>
          </cell>
          <cell r="Q1927">
            <v>36982</v>
          </cell>
          <cell r="R1927" t="str">
            <v>平成</v>
          </cell>
          <cell r="S1927">
            <v>13</v>
          </cell>
          <cell r="T1927">
            <v>4</v>
          </cell>
          <cell r="AB1927">
            <v>6100</v>
          </cell>
          <cell r="AF1927">
            <v>10</v>
          </cell>
          <cell r="AJ1927" t="str">
            <v>小池川</v>
          </cell>
          <cell r="AQ1927" t="str">
            <v/>
          </cell>
          <cell r="AR1927" t="str">
            <v>オキシディションディッチ法</v>
          </cell>
          <cell r="AS1927" t="str">
            <v>3930102001</v>
          </cell>
          <cell r="AT1927" t="str">
            <v/>
          </cell>
          <cell r="AU1927" t="str">
            <v>10</v>
          </cell>
          <cell r="AV1927" t="str">
            <v>10</v>
          </cell>
          <cell r="AW1927">
            <v>0</v>
          </cell>
          <cell r="AX1927">
            <v>0</v>
          </cell>
          <cell r="AY1927">
            <v>0</v>
          </cell>
          <cell r="AZ1927">
            <v>0</v>
          </cell>
          <cell r="BA1927">
            <v>0</v>
          </cell>
          <cell r="BD1927" t="str">
            <v/>
          </cell>
          <cell r="BE1927">
            <v>1</v>
          </cell>
          <cell r="BG1927" t="str">
            <v>1100</v>
          </cell>
        </row>
        <row r="1928">
          <cell r="B1928" t="str">
            <v>G393070206100100</v>
          </cell>
          <cell r="C1928" t="str">
            <v>39.高知県</v>
          </cell>
          <cell r="D1928" t="str">
            <v>307</v>
          </cell>
          <cell r="E1928" t="str">
            <v>芸西村</v>
          </cell>
          <cell r="F1928" t="str">
            <v>02</v>
          </cell>
          <cell r="G1928" t="str">
            <v>特環 単独</v>
          </cell>
          <cell r="H1928" t="str">
            <v>特定環境保全公共下水道</v>
          </cell>
          <cell r="I1928" t="str">
            <v>単独</v>
          </cell>
          <cell r="J1928" t="str">
            <v>001</v>
          </cell>
          <cell r="K1928" t="str">
            <v>芸西浄化センター</v>
          </cell>
          <cell r="M1928" t="str">
            <v>1</v>
          </cell>
          <cell r="N1928" t="str">
            <v>1</v>
          </cell>
          <cell r="Q1928">
            <v>36982</v>
          </cell>
          <cell r="R1928" t="str">
            <v>平成</v>
          </cell>
          <cell r="S1928">
            <v>13</v>
          </cell>
          <cell r="T1928">
            <v>4</v>
          </cell>
          <cell r="AB1928">
            <v>10400</v>
          </cell>
          <cell r="AF1928">
            <v>15</v>
          </cell>
          <cell r="AI1928" t="str">
            <v>和食川</v>
          </cell>
          <cell r="AL1928" t="str">
            <v>長谷川</v>
          </cell>
          <cell r="AM1928">
            <v>0.1</v>
          </cell>
          <cell r="AO1928" t="str">
            <v>芸西村</v>
          </cell>
          <cell r="AQ1928" t="str">
            <v/>
          </cell>
          <cell r="AR1928" t="str">
            <v>オキシディションディッチ法</v>
          </cell>
          <cell r="AS1928" t="str">
            <v>3930702001</v>
          </cell>
          <cell r="AT1928" t="str">
            <v/>
          </cell>
          <cell r="AU1928" t="str">
            <v>10</v>
          </cell>
          <cell r="AV1928" t="str">
            <v>10</v>
          </cell>
          <cell r="AW1928">
            <v>0</v>
          </cell>
          <cell r="AX1928">
            <v>0</v>
          </cell>
          <cell r="AY1928">
            <v>0</v>
          </cell>
          <cell r="AZ1928">
            <v>0</v>
          </cell>
          <cell r="BA1928">
            <v>0</v>
          </cell>
          <cell r="BD1928" t="str">
            <v/>
          </cell>
          <cell r="BE1928">
            <v>1</v>
          </cell>
          <cell r="BG1928" t="str">
            <v>1100</v>
          </cell>
        </row>
        <row r="1929">
          <cell r="B1929" t="str">
            <v>G393630206100100</v>
          </cell>
          <cell r="C1929" t="str">
            <v>39.高知県</v>
          </cell>
          <cell r="D1929" t="str">
            <v>363</v>
          </cell>
          <cell r="E1929" t="str">
            <v>土佐町</v>
          </cell>
          <cell r="F1929" t="str">
            <v>02</v>
          </cell>
          <cell r="G1929" t="str">
            <v>特環 単独</v>
          </cell>
          <cell r="H1929" t="str">
            <v>特定環境保全公共下水道</v>
          </cell>
          <cell r="I1929" t="str">
            <v>単独</v>
          </cell>
          <cell r="J1929" t="str">
            <v>001</v>
          </cell>
          <cell r="K1929" t="str">
            <v>土佐さめうらクリーンセンター</v>
          </cell>
          <cell r="M1929" t="str">
            <v>1</v>
          </cell>
          <cell r="N1929" t="str">
            <v>1</v>
          </cell>
          <cell r="Q1929">
            <v>39173</v>
          </cell>
          <cell r="R1929" t="str">
            <v>平成</v>
          </cell>
          <cell r="S1929">
            <v>19</v>
          </cell>
          <cell r="T1929">
            <v>4</v>
          </cell>
          <cell r="AB1929">
            <v>5380</v>
          </cell>
          <cell r="AC1929" t="str">
            <v>吉野川上流</v>
          </cell>
          <cell r="AD1929" t="str">
            <v>ＡＡ</v>
          </cell>
          <cell r="AE1929" t="str">
            <v>イ</v>
          </cell>
          <cell r="AF1929">
            <v>15</v>
          </cell>
          <cell r="AI1929" t="str">
            <v>山田谷川</v>
          </cell>
          <cell r="AQ1929" t="str">
            <v/>
          </cell>
          <cell r="AR1929" t="str">
            <v>オキシディションディッチ法</v>
          </cell>
          <cell r="AS1929" t="str">
            <v>3936302001</v>
          </cell>
          <cell r="AT1929" t="str">
            <v/>
          </cell>
          <cell r="AU1929" t="str">
            <v>10</v>
          </cell>
          <cell r="AV1929" t="str">
            <v>10</v>
          </cell>
          <cell r="AW1929">
            <v>0</v>
          </cell>
          <cell r="AX1929">
            <v>0</v>
          </cell>
          <cell r="AY1929">
            <v>0</v>
          </cell>
          <cell r="AZ1929">
            <v>0</v>
          </cell>
          <cell r="BA1929">
            <v>0</v>
          </cell>
          <cell r="BD1929" t="str">
            <v/>
          </cell>
          <cell r="BE1929">
            <v>1</v>
          </cell>
          <cell r="BG1929" t="str">
            <v>1100</v>
          </cell>
        </row>
        <row r="1930">
          <cell r="B1930" t="str">
            <v>G393860106100100</v>
          </cell>
          <cell r="C1930" t="str">
            <v>39.高知県</v>
          </cell>
          <cell r="D1930" t="str">
            <v>386</v>
          </cell>
          <cell r="E1930" t="str">
            <v>いの町</v>
          </cell>
          <cell r="F1930" t="str">
            <v>01</v>
          </cell>
          <cell r="G1930" t="str">
            <v>公共 単独</v>
          </cell>
          <cell r="H1930" t="str">
            <v>公共下水道</v>
          </cell>
          <cell r="I1930" t="str">
            <v>単独</v>
          </cell>
          <cell r="J1930" t="str">
            <v>001</v>
          </cell>
          <cell r="K1930" t="str">
            <v>伊野浄水苑</v>
          </cell>
          <cell r="M1930" t="str">
            <v>1</v>
          </cell>
          <cell r="N1930" t="str">
            <v>1</v>
          </cell>
          <cell r="Q1930">
            <v>32752</v>
          </cell>
          <cell r="R1930" t="str">
            <v>平成</v>
          </cell>
          <cell r="S1930">
            <v>1</v>
          </cell>
          <cell r="T1930">
            <v>9</v>
          </cell>
          <cell r="AB1930">
            <v>24800</v>
          </cell>
          <cell r="AC1930" t="str">
            <v>宇治川放水路及び仁淀川</v>
          </cell>
          <cell r="AD1930" t="str">
            <v>ＡＡ</v>
          </cell>
          <cell r="AE1930" t="str">
            <v>イ</v>
          </cell>
          <cell r="AF1930">
            <v>15</v>
          </cell>
          <cell r="AK1930" t="str">
            <v>仁淀川</v>
          </cell>
          <cell r="AL1930" t="str">
            <v>高知市水道局仁淀川取水口</v>
          </cell>
          <cell r="AM1930">
            <v>0</v>
          </cell>
          <cell r="AN1930">
            <v>0.2</v>
          </cell>
          <cell r="AO1930" t="str">
            <v>高知市</v>
          </cell>
          <cell r="AQ1930" t="str">
            <v/>
          </cell>
          <cell r="AR1930" t="str">
            <v>回分式活性汚泥法</v>
          </cell>
          <cell r="AS1930" t="str">
            <v>3938601001</v>
          </cell>
          <cell r="AT1930" t="str">
            <v/>
          </cell>
          <cell r="AU1930" t="str">
            <v>10</v>
          </cell>
          <cell r="AV1930" t="str">
            <v>10</v>
          </cell>
          <cell r="AW1930">
            <v>0</v>
          </cell>
          <cell r="AX1930">
            <v>0</v>
          </cell>
          <cell r="AY1930">
            <v>0</v>
          </cell>
          <cell r="AZ1930">
            <v>0</v>
          </cell>
          <cell r="BA1930">
            <v>0</v>
          </cell>
          <cell r="BD1930" t="str">
            <v/>
          </cell>
          <cell r="BE1930">
            <v>1</v>
          </cell>
          <cell r="BG1930" t="str">
            <v>1100</v>
          </cell>
        </row>
        <row r="1931">
          <cell r="B1931" t="str">
            <v>G394030206100100</v>
          </cell>
          <cell r="C1931" t="str">
            <v>39.高知県</v>
          </cell>
          <cell r="D1931" t="str">
            <v>403</v>
          </cell>
          <cell r="E1931" t="str">
            <v>越知町</v>
          </cell>
          <cell r="F1931" t="str">
            <v>02</v>
          </cell>
          <cell r="G1931" t="str">
            <v>特環 単独</v>
          </cell>
          <cell r="H1931" t="str">
            <v>特定環境保全公共下水道</v>
          </cell>
          <cell r="I1931" t="str">
            <v>単独</v>
          </cell>
          <cell r="J1931" t="str">
            <v>001</v>
          </cell>
          <cell r="K1931" t="str">
            <v>越知町浄化センター</v>
          </cell>
          <cell r="M1931" t="str">
            <v>1</v>
          </cell>
          <cell r="N1931" t="str">
            <v>1</v>
          </cell>
          <cell r="Q1931">
            <v>34608</v>
          </cell>
          <cell r="R1931" t="str">
            <v>平成</v>
          </cell>
          <cell r="S1931">
            <v>6</v>
          </cell>
          <cell r="T1931">
            <v>10</v>
          </cell>
          <cell r="AB1931">
            <v>9900</v>
          </cell>
          <cell r="AC1931" t="str">
            <v>設定なし</v>
          </cell>
          <cell r="AF1931">
            <v>15</v>
          </cell>
          <cell r="AG1931">
            <v>20</v>
          </cell>
          <cell r="AH1931">
            <v>3</v>
          </cell>
          <cell r="AI1931" t="str">
            <v>柳瀬川</v>
          </cell>
          <cell r="AK1931" t="str">
            <v>仁淀川</v>
          </cell>
          <cell r="AL1931" t="str">
            <v>越知町上水道宮ノ前取水口</v>
          </cell>
          <cell r="AM1931">
            <v>2.8</v>
          </cell>
          <cell r="AO1931" t="str">
            <v>越知町</v>
          </cell>
          <cell r="AQ1931" t="str">
            <v/>
          </cell>
          <cell r="AR1931" t="str">
            <v>オキシディションディッチ法</v>
          </cell>
          <cell r="AS1931" t="str">
            <v>3940302001</v>
          </cell>
          <cell r="AT1931" t="str">
            <v/>
          </cell>
          <cell r="AU1931" t="str">
            <v>10</v>
          </cell>
          <cell r="AV1931" t="str">
            <v>10</v>
          </cell>
          <cell r="AW1931">
            <v>0</v>
          </cell>
          <cell r="AX1931">
            <v>0</v>
          </cell>
          <cell r="AY1931">
            <v>0</v>
          </cell>
          <cell r="AZ1931">
            <v>0</v>
          </cell>
          <cell r="BA1931">
            <v>0</v>
          </cell>
          <cell r="BD1931" t="str">
            <v/>
          </cell>
          <cell r="BE1931">
            <v>1</v>
          </cell>
          <cell r="BG1931" t="str">
            <v>1100</v>
          </cell>
        </row>
        <row r="1932">
          <cell r="B1932" t="str">
            <v>G394050206100100</v>
          </cell>
          <cell r="C1932" t="str">
            <v>39.高知県</v>
          </cell>
          <cell r="D1932" t="str">
            <v>405</v>
          </cell>
          <cell r="E1932" t="str">
            <v>梼原町</v>
          </cell>
          <cell r="F1932" t="str">
            <v>02</v>
          </cell>
          <cell r="G1932" t="str">
            <v>特環 単独</v>
          </cell>
          <cell r="H1932" t="str">
            <v>特定環境保全公共下水道</v>
          </cell>
          <cell r="I1932" t="str">
            <v>単独</v>
          </cell>
          <cell r="J1932" t="str">
            <v>001</v>
          </cell>
          <cell r="K1932" t="str">
            <v>梼原浄化センター</v>
          </cell>
          <cell r="M1932" t="str">
            <v>1</v>
          </cell>
          <cell r="N1932" t="str">
            <v>1</v>
          </cell>
          <cell r="P1932" t="str">
            <v>1</v>
          </cell>
          <cell r="Q1932">
            <v>38687</v>
          </cell>
          <cell r="R1932" t="str">
            <v>平成</v>
          </cell>
          <cell r="S1932">
            <v>17</v>
          </cell>
          <cell r="T1932">
            <v>12</v>
          </cell>
          <cell r="AB1932">
            <v>4400</v>
          </cell>
          <cell r="AC1932" t="str">
            <v>梼原川</v>
          </cell>
          <cell r="AD1932" t="str">
            <v>Ａ</v>
          </cell>
          <cell r="AE1932" t="str">
            <v>イ</v>
          </cell>
          <cell r="AF1932">
            <v>10</v>
          </cell>
          <cell r="AK1932" t="str">
            <v>梼原川</v>
          </cell>
          <cell r="AQ1932" t="str">
            <v/>
          </cell>
          <cell r="AR1932" t="str">
            <v>その他処理方法</v>
          </cell>
          <cell r="AS1932" t="str">
            <v>3940502001</v>
          </cell>
          <cell r="AT1932" t="str">
            <v/>
          </cell>
          <cell r="AU1932" t="str">
            <v>10</v>
          </cell>
          <cell r="AV1932" t="str">
            <v>10</v>
          </cell>
          <cell r="AW1932">
            <v>1</v>
          </cell>
          <cell r="AX1932">
            <v>0</v>
          </cell>
          <cell r="AY1932">
            <v>0</v>
          </cell>
          <cell r="AZ1932">
            <v>0</v>
          </cell>
          <cell r="BA1932">
            <v>0</v>
          </cell>
          <cell r="BD1932" t="str">
            <v/>
          </cell>
          <cell r="BE1932">
            <v>1</v>
          </cell>
          <cell r="BG1932" t="str">
            <v>1101</v>
          </cell>
        </row>
        <row r="1933">
          <cell r="B1933" t="str">
            <v>G394120206100100</v>
          </cell>
          <cell r="C1933" t="str">
            <v>39.高知県</v>
          </cell>
          <cell r="D1933" t="str">
            <v>412</v>
          </cell>
          <cell r="E1933" t="str">
            <v>四万十町</v>
          </cell>
          <cell r="F1933" t="str">
            <v>02</v>
          </cell>
          <cell r="G1933" t="str">
            <v>特環 単独</v>
          </cell>
          <cell r="H1933" t="str">
            <v>特定環境保全公共下水道</v>
          </cell>
          <cell r="I1933" t="str">
            <v>単独</v>
          </cell>
          <cell r="J1933" t="str">
            <v>001</v>
          </cell>
          <cell r="K1933" t="str">
            <v>大正クリーンセンター</v>
          </cell>
          <cell r="M1933" t="str">
            <v>1</v>
          </cell>
          <cell r="N1933" t="str">
            <v>1</v>
          </cell>
          <cell r="Q1933">
            <v>37347</v>
          </cell>
          <cell r="R1933" t="str">
            <v>平成</v>
          </cell>
          <cell r="S1933">
            <v>14</v>
          </cell>
          <cell r="T1933">
            <v>4</v>
          </cell>
          <cell r="AB1933">
            <v>6400</v>
          </cell>
          <cell r="AC1933" t="str">
            <v>四万十川</v>
          </cell>
          <cell r="AD1933" t="str">
            <v>ＡＡ</v>
          </cell>
          <cell r="AE1933" t="str">
            <v>イ</v>
          </cell>
          <cell r="AF1933">
            <v>15</v>
          </cell>
          <cell r="AK1933" t="str">
            <v>四万十川</v>
          </cell>
          <cell r="AN1933">
            <v>42</v>
          </cell>
          <cell r="AO1933" t="str">
            <v>四万十市</v>
          </cell>
          <cell r="AQ1933" t="str">
            <v/>
          </cell>
          <cell r="AR1933" t="str">
            <v>オキシディションディッチ法</v>
          </cell>
          <cell r="AS1933" t="str">
            <v>3941202001</v>
          </cell>
          <cell r="AT1933" t="str">
            <v/>
          </cell>
          <cell r="AU1933" t="str">
            <v>10</v>
          </cell>
          <cell r="AV1933" t="str">
            <v>10</v>
          </cell>
          <cell r="AW1933">
            <v>0</v>
          </cell>
          <cell r="AX1933">
            <v>0</v>
          </cell>
          <cell r="AY1933">
            <v>0</v>
          </cell>
          <cell r="AZ1933">
            <v>0</v>
          </cell>
          <cell r="BA1933">
            <v>0</v>
          </cell>
          <cell r="BD1933" t="str">
            <v/>
          </cell>
          <cell r="BE1933">
            <v>1</v>
          </cell>
          <cell r="BG1933" t="str">
            <v>1100</v>
          </cell>
        </row>
        <row r="1934">
          <cell r="B1934" t="str">
            <v>G400018106100100</v>
          </cell>
          <cell r="C1934" t="str">
            <v>40.福岡県</v>
          </cell>
          <cell r="D1934" t="str">
            <v>001</v>
          </cell>
          <cell r="E1934" t="str">
            <v>御笠川那珂川流域</v>
          </cell>
          <cell r="F1934" t="str">
            <v>81</v>
          </cell>
          <cell r="G1934" t="str">
            <v>流域</v>
          </cell>
          <cell r="H1934" t="str">
            <v>流域下水道</v>
          </cell>
          <cell r="I1934" t="str">
            <v/>
          </cell>
          <cell r="J1934" t="str">
            <v>001</v>
          </cell>
          <cell r="K1934" t="str">
            <v>御笠川浄化センター</v>
          </cell>
          <cell r="M1934" t="str">
            <v>1</v>
          </cell>
          <cell r="N1934" t="str">
            <v>1</v>
          </cell>
          <cell r="O1934" t="str">
            <v>1</v>
          </cell>
          <cell r="Q1934">
            <v>27515</v>
          </cell>
          <cell r="R1934" t="str">
            <v>昭和</v>
          </cell>
          <cell r="S1934">
            <v>50</v>
          </cell>
          <cell r="T1934">
            <v>5</v>
          </cell>
          <cell r="AB1934">
            <v>181000</v>
          </cell>
          <cell r="AC1934" t="str">
            <v>御笠川下流(1)</v>
          </cell>
          <cell r="AD1934" t="str">
            <v>Ｄ</v>
          </cell>
          <cell r="AE1934" t="str">
            <v>ハ</v>
          </cell>
          <cell r="AF1934">
            <v>10</v>
          </cell>
          <cell r="AJ1934" t="str">
            <v>御笠川</v>
          </cell>
          <cell r="AM1934">
            <v>2</v>
          </cell>
          <cell r="AO1934" t="str">
            <v>福岡市</v>
          </cell>
          <cell r="AQ1934" t="str">
            <v/>
          </cell>
          <cell r="AR1934" t="str">
            <v>標準活性汚泥法</v>
          </cell>
          <cell r="AS1934" t="str">
            <v>4000181001</v>
          </cell>
          <cell r="AT1934" t="str">
            <v/>
          </cell>
          <cell r="AU1934" t="str">
            <v>11</v>
          </cell>
          <cell r="AV1934" t="str">
            <v>11</v>
          </cell>
          <cell r="AW1934">
            <v>0</v>
          </cell>
          <cell r="AX1934">
            <v>0</v>
          </cell>
          <cell r="AY1934">
            <v>0</v>
          </cell>
          <cell r="AZ1934">
            <v>0</v>
          </cell>
          <cell r="BA1934">
            <v>0</v>
          </cell>
          <cell r="BD1934" t="str">
            <v/>
          </cell>
          <cell r="BE1934">
            <v>1</v>
          </cell>
          <cell r="BG1934" t="str">
            <v>1110</v>
          </cell>
        </row>
        <row r="1935">
          <cell r="B1935" t="str">
            <v>G400028106100100</v>
          </cell>
          <cell r="C1935" t="str">
            <v>40.福岡県</v>
          </cell>
          <cell r="D1935" t="str">
            <v>002</v>
          </cell>
          <cell r="E1935" t="str">
            <v>多々良川流域</v>
          </cell>
          <cell r="F1935" t="str">
            <v>81</v>
          </cell>
          <cell r="G1935" t="str">
            <v>流域</v>
          </cell>
          <cell r="H1935" t="str">
            <v>流域下水道</v>
          </cell>
          <cell r="I1935" t="str">
            <v/>
          </cell>
          <cell r="J1935" t="str">
            <v>001</v>
          </cell>
          <cell r="K1935" t="str">
            <v>多々良川浄化センター</v>
          </cell>
          <cell r="M1935" t="str">
            <v>1</v>
          </cell>
          <cell r="N1935" t="str">
            <v>1</v>
          </cell>
          <cell r="P1935" t="str">
            <v>1</v>
          </cell>
          <cell r="Q1935">
            <v>34516</v>
          </cell>
          <cell r="R1935" t="str">
            <v>平成</v>
          </cell>
          <cell r="S1935">
            <v>6</v>
          </cell>
          <cell r="T1935">
            <v>7</v>
          </cell>
          <cell r="AB1935">
            <v>154000</v>
          </cell>
          <cell r="AC1935" t="str">
            <v>多々良川</v>
          </cell>
          <cell r="AD1935" t="str">
            <v>Ｃ</v>
          </cell>
          <cell r="AE1935" t="str">
            <v>イ</v>
          </cell>
          <cell r="AF1935">
            <v>5</v>
          </cell>
          <cell r="AJ1935" t="str">
            <v>多々良川</v>
          </cell>
          <cell r="AL1935" t="str">
            <v>多々良取水場</v>
          </cell>
          <cell r="AM1935">
            <v>0.3</v>
          </cell>
          <cell r="AO1935" t="str">
            <v>福岡市</v>
          </cell>
          <cell r="AQ1935" t="str">
            <v/>
          </cell>
          <cell r="AR1935" t="str">
            <v>嫌気無酸素好気法</v>
          </cell>
          <cell r="AS1935" t="str">
            <v>4000281001</v>
          </cell>
          <cell r="AT1935" t="str">
            <v/>
          </cell>
          <cell r="AU1935" t="str">
            <v>10</v>
          </cell>
          <cell r="AV1935" t="str">
            <v>10</v>
          </cell>
          <cell r="AW1935">
            <v>1</v>
          </cell>
          <cell r="AX1935">
            <v>0</v>
          </cell>
          <cell r="AY1935">
            <v>0</v>
          </cell>
          <cell r="AZ1935">
            <v>0</v>
          </cell>
          <cell r="BA1935">
            <v>0</v>
          </cell>
          <cell r="BD1935" t="str">
            <v/>
          </cell>
          <cell r="BE1935">
            <v>1</v>
          </cell>
          <cell r="BG1935" t="str">
            <v>1101</v>
          </cell>
        </row>
        <row r="1936">
          <cell r="B1936" t="str">
            <v>G400038106100100</v>
          </cell>
          <cell r="C1936" t="str">
            <v>40.福岡県</v>
          </cell>
          <cell r="D1936" t="str">
            <v>003</v>
          </cell>
          <cell r="E1936" t="str">
            <v>宝満川流域</v>
          </cell>
          <cell r="F1936" t="str">
            <v>81</v>
          </cell>
          <cell r="G1936" t="str">
            <v>流域</v>
          </cell>
          <cell r="H1936" t="str">
            <v>流域下水道</v>
          </cell>
          <cell r="I1936" t="str">
            <v/>
          </cell>
          <cell r="J1936" t="str">
            <v>001</v>
          </cell>
          <cell r="K1936" t="str">
            <v>宝満川浄化センター</v>
          </cell>
          <cell r="M1936" t="str">
            <v>1</v>
          </cell>
          <cell r="N1936" t="str">
            <v>1</v>
          </cell>
          <cell r="Q1936">
            <v>32295</v>
          </cell>
          <cell r="R1936" t="str">
            <v>昭和</v>
          </cell>
          <cell r="S1936">
            <v>63</v>
          </cell>
          <cell r="T1936">
            <v>6</v>
          </cell>
          <cell r="AB1936">
            <v>52000</v>
          </cell>
          <cell r="AC1936" t="str">
            <v>宝満川（２）</v>
          </cell>
          <cell r="AD1936" t="str">
            <v>Ｂ</v>
          </cell>
          <cell r="AE1936" t="str">
            <v>ロ</v>
          </cell>
          <cell r="AF1936">
            <v>8</v>
          </cell>
          <cell r="AG1936">
            <v>14</v>
          </cell>
          <cell r="AH1936">
            <v>2.6</v>
          </cell>
          <cell r="AI1936" t="str">
            <v>宝満川</v>
          </cell>
          <cell r="AK1936" t="str">
            <v>筑後川</v>
          </cell>
          <cell r="AL1936" t="str">
            <v>筑後川</v>
          </cell>
          <cell r="AN1936">
            <v>20</v>
          </cell>
          <cell r="AO1936" t="str">
            <v>鳥栖市</v>
          </cell>
          <cell r="AQ1936" t="str">
            <v/>
          </cell>
          <cell r="AR1936" t="str">
            <v>標準活性汚泥法</v>
          </cell>
          <cell r="AS1936" t="str">
            <v>4000381001</v>
          </cell>
          <cell r="AT1936" t="str">
            <v/>
          </cell>
          <cell r="AU1936" t="str">
            <v>10</v>
          </cell>
          <cell r="AV1936" t="str">
            <v>10</v>
          </cell>
          <cell r="AW1936">
            <v>0</v>
          </cell>
          <cell r="AX1936">
            <v>0</v>
          </cell>
          <cell r="AY1936">
            <v>0</v>
          </cell>
          <cell r="AZ1936">
            <v>0</v>
          </cell>
          <cell r="BA1936">
            <v>0</v>
          </cell>
          <cell r="BD1936" t="str">
            <v/>
          </cell>
          <cell r="BE1936">
            <v>1</v>
          </cell>
          <cell r="BG1936" t="str">
            <v>1100</v>
          </cell>
        </row>
        <row r="1937">
          <cell r="B1937" t="str">
            <v>G400058106100100</v>
          </cell>
          <cell r="C1937" t="str">
            <v>40.福岡県</v>
          </cell>
          <cell r="D1937" t="str">
            <v>005</v>
          </cell>
          <cell r="E1937" t="str">
            <v>筑後川中流右岸流域</v>
          </cell>
          <cell r="F1937" t="str">
            <v>81</v>
          </cell>
          <cell r="G1937" t="str">
            <v>流域</v>
          </cell>
          <cell r="H1937" t="str">
            <v>流域下水道</v>
          </cell>
          <cell r="I1937" t="str">
            <v/>
          </cell>
          <cell r="J1937" t="str">
            <v>001</v>
          </cell>
          <cell r="K1937" t="str">
            <v>福童浄化センター</v>
          </cell>
          <cell r="M1937" t="str">
            <v>1</v>
          </cell>
          <cell r="N1937" t="str">
            <v>1</v>
          </cell>
          <cell r="Q1937">
            <v>39800</v>
          </cell>
          <cell r="R1937" t="str">
            <v>平成</v>
          </cell>
          <cell r="S1937">
            <v>20</v>
          </cell>
          <cell r="T1937">
            <v>12</v>
          </cell>
          <cell r="AB1937">
            <v>117500</v>
          </cell>
          <cell r="AC1937" t="str">
            <v>宝満川(2)</v>
          </cell>
          <cell r="AD1937" t="str">
            <v>Ｂ</v>
          </cell>
          <cell r="AE1937" t="str">
            <v>ロ</v>
          </cell>
          <cell r="AF1937">
            <v>8</v>
          </cell>
          <cell r="AG1937">
            <v>13</v>
          </cell>
          <cell r="AH1937">
            <v>2.6</v>
          </cell>
          <cell r="AI1937" t="str">
            <v>宝満川</v>
          </cell>
          <cell r="AK1937" t="str">
            <v>筑後川</v>
          </cell>
          <cell r="AL1937" t="str">
            <v>宝満川取水口</v>
          </cell>
          <cell r="AN1937">
            <v>5</v>
          </cell>
          <cell r="AO1937" t="str">
            <v>鳥栖市</v>
          </cell>
          <cell r="AQ1937" t="str">
            <v/>
          </cell>
          <cell r="AR1937" t="str">
            <v>嫌気無酸素好気法</v>
          </cell>
          <cell r="AS1937" t="str">
            <v>4000581001</v>
          </cell>
          <cell r="AT1937" t="str">
            <v/>
          </cell>
          <cell r="AU1937" t="str">
            <v>10</v>
          </cell>
          <cell r="AV1937" t="str">
            <v>10</v>
          </cell>
          <cell r="AW1937">
            <v>0</v>
          </cell>
          <cell r="AX1937">
            <v>0</v>
          </cell>
          <cell r="AY1937">
            <v>0</v>
          </cell>
          <cell r="AZ1937">
            <v>0</v>
          </cell>
          <cell r="BA1937">
            <v>0</v>
          </cell>
          <cell r="BD1937" t="str">
            <v/>
          </cell>
          <cell r="BE1937">
            <v>1</v>
          </cell>
          <cell r="BG1937" t="str">
            <v>1100</v>
          </cell>
        </row>
        <row r="1938">
          <cell r="B1938" t="str">
            <v>G400068106100100</v>
          </cell>
          <cell r="C1938" t="str">
            <v>40.福岡県</v>
          </cell>
          <cell r="D1938" t="str">
            <v>006</v>
          </cell>
          <cell r="E1938" t="str">
            <v>遠賀川下流流域</v>
          </cell>
          <cell r="F1938" t="str">
            <v>81</v>
          </cell>
          <cell r="G1938" t="str">
            <v>流域</v>
          </cell>
          <cell r="H1938" t="str">
            <v>流域下水道</v>
          </cell>
          <cell r="I1938" t="str">
            <v/>
          </cell>
          <cell r="J1938" t="str">
            <v>001</v>
          </cell>
          <cell r="K1938" t="str">
            <v>遠賀川下流浄化センター</v>
          </cell>
          <cell r="M1938" t="str">
            <v>1</v>
          </cell>
          <cell r="N1938" t="str">
            <v>1</v>
          </cell>
          <cell r="Q1938">
            <v>37803</v>
          </cell>
          <cell r="R1938" t="str">
            <v>平成</v>
          </cell>
          <cell r="S1938">
            <v>15</v>
          </cell>
          <cell r="T1938">
            <v>7</v>
          </cell>
          <cell r="AB1938">
            <v>79800</v>
          </cell>
          <cell r="AC1938" t="str">
            <v>遠賀川</v>
          </cell>
          <cell r="AD1938" t="str">
            <v>Ｂ</v>
          </cell>
          <cell r="AE1938" t="str">
            <v>イ</v>
          </cell>
          <cell r="AF1938">
            <v>15</v>
          </cell>
          <cell r="AK1938" t="str">
            <v>西川</v>
          </cell>
          <cell r="AQ1938" t="str">
            <v/>
          </cell>
          <cell r="AR1938" t="str">
            <v>標準活性汚泥法</v>
          </cell>
          <cell r="AS1938" t="str">
            <v>4000681001</v>
          </cell>
          <cell r="AT1938" t="str">
            <v/>
          </cell>
          <cell r="AU1938" t="str">
            <v>10</v>
          </cell>
          <cell r="AV1938" t="str">
            <v>10</v>
          </cell>
          <cell r="AW1938">
            <v>0</v>
          </cell>
          <cell r="AX1938">
            <v>0</v>
          </cell>
          <cell r="AY1938">
            <v>0</v>
          </cell>
          <cell r="AZ1938">
            <v>0</v>
          </cell>
          <cell r="BA1938">
            <v>0</v>
          </cell>
          <cell r="BD1938" t="str">
            <v/>
          </cell>
          <cell r="BE1938">
            <v>1</v>
          </cell>
          <cell r="BG1938" t="str">
            <v>1100</v>
          </cell>
        </row>
        <row r="1939">
          <cell r="B1939" t="str">
            <v>G400078106100100</v>
          </cell>
          <cell r="C1939" t="str">
            <v>40.福岡県</v>
          </cell>
          <cell r="D1939" t="str">
            <v>007</v>
          </cell>
          <cell r="E1939" t="str">
            <v>矢部川流域</v>
          </cell>
          <cell r="F1939" t="str">
            <v>81</v>
          </cell>
          <cell r="G1939" t="str">
            <v>流域</v>
          </cell>
          <cell r="H1939" t="str">
            <v>流域下水道</v>
          </cell>
          <cell r="I1939" t="str">
            <v/>
          </cell>
          <cell r="J1939" t="str">
            <v>001</v>
          </cell>
          <cell r="K1939" t="str">
            <v>矢部川浄化センター</v>
          </cell>
          <cell r="M1939" t="str">
            <v>1</v>
          </cell>
          <cell r="N1939" t="str">
            <v>1</v>
          </cell>
          <cell r="Q1939">
            <v>38991</v>
          </cell>
          <cell r="R1939" t="str">
            <v>平成</v>
          </cell>
          <cell r="S1939">
            <v>18</v>
          </cell>
          <cell r="T1939">
            <v>10</v>
          </cell>
          <cell r="AB1939">
            <v>112300</v>
          </cell>
          <cell r="AC1939" t="str">
            <v>筑後川</v>
          </cell>
          <cell r="AD1939" t="str">
            <v>Ｂ</v>
          </cell>
          <cell r="AE1939" t="str">
            <v>イ</v>
          </cell>
          <cell r="AF1939">
            <v>8</v>
          </cell>
          <cell r="AG1939">
            <v>13</v>
          </cell>
          <cell r="AH1939">
            <v>2.6</v>
          </cell>
          <cell r="AI1939" t="str">
            <v>山ノ井川</v>
          </cell>
          <cell r="AK1939" t="str">
            <v>筑後川</v>
          </cell>
          <cell r="AO1939" t="str">
            <v>該当なし</v>
          </cell>
          <cell r="AQ1939" t="str">
            <v/>
          </cell>
          <cell r="AR1939" t="str">
            <v>嫌気無酸素好気法</v>
          </cell>
          <cell r="AS1939" t="str">
            <v>4000781001</v>
          </cell>
          <cell r="AT1939" t="str">
            <v/>
          </cell>
          <cell r="AU1939" t="str">
            <v>10</v>
          </cell>
          <cell r="AV1939" t="str">
            <v>10</v>
          </cell>
          <cell r="AW1939">
            <v>0</v>
          </cell>
          <cell r="AX1939">
            <v>0</v>
          </cell>
          <cell r="AY1939">
            <v>0</v>
          </cell>
          <cell r="AZ1939">
            <v>0</v>
          </cell>
          <cell r="BA1939">
            <v>0</v>
          </cell>
          <cell r="BD1939" t="str">
            <v/>
          </cell>
          <cell r="BE1939">
            <v>1</v>
          </cell>
          <cell r="BG1939" t="str">
            <v>1100</v>
          </cell>
        </row>
        <row r="1940">
          <cell r="B1940" t="str">
            <v>G400088106100100</v>
          </cell>
          <cell r="C1940" t="str">
            <v>40.福岡県</v>
          </cell>
          <cell r="D1940" t="str">
            <v>008</v>
          </cell>
          <cell r="E1940" t="str">
            <v>遠賀川中流流域</v>
          </cell>
          <cell r="F1940" t="str">
            <v>81</v>
          </cell>
          <cell r="G1940" t="str">
            <v>流域</v>
          </cell>
          <cell r="H1940" t="str">
            <v>流域下水道</v>
          </cell>
          <cell r="I1940" t="str">
            <v/>
          </cell>
          <cell r="J1940" t="str">
            <v>001</v>
          </cell>
          <cell r="K1940" t="str">
            <v>遠賀川中流浄化センター</v>
          </cell>
          <cell r="M1940" t="str">
            <v>1</v>
          </cell>
          <cell r="N1940" t="str">
            <v>1</v>
          </cell>
          <cell r="Q1940">
            <v>38961</v>
          </cell>
          <cell r="R1940" t="str">
            <v>平成</v>
          </cell>
          <cell r="S1940">
            <v>18</v>
          </cell>
          <cell r="T1940">
            <v>9</v>
          </cell>
          <cell r="AB1940">
            <v>5170</v>
          </cell>
          <cell r="AC1940" t="str">
            <v>遠賀川下流</v>
          </cell>
          <cell r="AD1940" t="str">
            <v>Ｂ</v>
          </cell>
          <cell r="AE1940" t="str">
            <v>イ</v>
          </cell>
          <cell r="AF1940">
            <v>10</v>
          </cell>
          <cell r="AK1940" t="str">
            <v>遠賀川</v>
          </cell>
          <cell r="AL1940" t="str">
            <v>唐戸</v>
          </cell>
          <cell r="AN1940">
            <v>3.8</v>
          </cell>
          <cell r="AO1940" t="str">
            <v>中間市</v>
          </cell>
          <cell r="AQ1940" t="str">
            <v/>
          </cell>
          <cell r="AR1940" t="str">
            <v>嫌気無酸素好気法</v>
          </cell>
          <cell r="AS1940" t="str">
            <v>4000881001</v>
          </cell>
          <cell r="AT1940" t="str">
            <v/>
          </cell>
          <cell r="AU1940" t="str">
            <v>10</v>
          </cell>
          <cell r="AV1940" t="str">
            <v>10</v>
          </cell>
          <cell r="AW1940">
            <v>0</v>
          </cell>
          <cell r="AX1940">
            <v>0</v>
          </cell>
          <cell r="AY1940">
            <v>0</v>
          </cell>
          <cell r="AZ1940">
            <v>0</v>
          </cell>
          <cell r="BA1940">
            <v>0</v>
          </cell>
          <cell r="BD1940" t="str">
            <v/>
          </cell>
          <cell r="BE1940">
            <v>1</v>
          </cell>
          <cell r="BG1940" t="str">
            <v>1100</v>
          </cell>
        </row>
        <row r="1941">
          <cell r="B1941" t="str">
            <v>G401000106100100</v>
          </cell>
          <cell r="C1941" t="str">
            <v>40.福岡県</v>
          </cell>
          <cell r="D1941" t="str">
            <v>100</v>
          </cell>
          <cell r="E1941" t="str">
            <v>北九州市</v>
          </cell>
          <cell r="F1941" t="str">
            <v>01</v>
          </cell>
          <cell r="G1941" t="str">
            <v>公共 単独</v>
          </cell>
          <cell r="H1941" t="str">
            <v>公共下水道</v>
          </cell>
          <cell r="I1941" t="str">
            <v>単独</v>
          </cell>
          <cell r="J1941" t="str">
            <v>001</v>
          </cell>
          <cell r="K1941" t="str">
            <v>皇后崎浄化センター</v>
          </cell>
          <cell r="M1941" t="str">
            <v>1</v>
          </cell>
          <cell r="N1941" t="str">
            <v>1</v>
          </cell>
          <cell r="P1941" t="str">
            <v>1</v>
          </cell>
          <cell r="Q1941">
            <v>23193</v>
          </cell>
          <cell r="R1941" t="str">
            <v>昭和</v>
          </cell>
          <cell r="S1941">
            <v>38</v>
          </cell>
          <cell r="T1941">
            <v>7</v>
          </cell>
          <cell r="AB1941">
            <v>145323</v>
          </cell>
          <cell r="AC1941" t="str">
            <v>奥洞海</v>
          </cell>
          <cell r="AD1941" t="str">
            <v>Ｃ</v>
          </cell>
          <cell r="AE1941" t="str">
            <v>ロ</v>
          </cell>
          <cell r="AF1941">
            <v>15</v>
          </cell>
          <cell r="AJ1941" t="str">
            <v>割子川</v>
          </cell>
          <cell r="AQ1941" t="str">
            <v/>
          </cell>
          <cell r="AR1941" t="str">
            <v>標準活性汚泥法</v>
          </cell>
          <cell r="AS1941" t="str">
            <v>4010001001</v>
          </cell>
          <cell r="AT1941" t="str">
            <v/>
          </cell>
          <cell r="AU1941" t="str">
            <v>10</v>
          </cell>
          <cell r="AV1941" t="str">
            <v>10</v>
          </cell>
          <cell r="AW1941">
            <v>1</v>
          </cell>
          <cell r="AX1941">
            <v>0</v>
          </cell>
          <cell r="AY1941">
            <v>0</v>
          </cell>
          <cell r="AZ1941">
            <v>0</v>
          </cell>
          <cell r="BA1941">
            <v>0</v>
          </cell>
          <cell r="BD1941" t="str">
            <v/>
          </cell>
          <cell r="BE1941">
            <v>1</v>
          </cell>
          <cell r="BG1941" t="str">
            <v>1101</v>
          </cell>
        </row>
        <row r="1942">
          <cell r="B1942" t="str">
            <v>G401000106100200</v>
          </cell>
          <cell r="C1942" t="str">
            <v>40.福岡県</v>
          </cell>
          <cell r="D1942" t="str">
            <v>100</v>
          </cell>
          <cell r="E1942" t="str">
            <v>北九州市</v>
          </cell>
          <cell r="F1942" t="str">
            <v>01</v>
          </cell>
          <cell r="G1942" t="str">
            <v>公共 単独</v>
          </cell>
          <cell r="H1942" t="str">
            <v>公共下水道</v>
          </cell>
          <cell r="I1942" t="str">
            <v>単独</v>
          </cell>
          <cell r="J1942" t="str">
            <v>002</v>
          </cell>
          <cell r="K1942" t="str">
            <v>日明浄化センター</v>
          </cell>
          <cell r="M1942" t="str">
            <v>1</v>
          </cell>
          <cell r="N1942" t="str">
            <v>1</v>
          </cell>
          <cell r="O1942" t="str">
            <v>1</v>
          </cell>
          <cell r="P1942" t="str">
            <v>1</v>
          </cell>
          <cell r="Q1942">
            <v>25659</v>
          </cell>
          <cell r="R1942" t="str">
            <v>昭和</v>
          </cell>
          <cell r="S1942">
            <v>45</v>
          </cell>
          <cell r="T1942">
            <v>4</v>
          </cell>
          <cell r="AB1942">
            <v>114175</v>
          </cell>
          <cell r="AC1942" t="str">
            <v>洞海湾湾口部</v>
          </cell>
          <cell r="AD1942" t="str">
            <v>Ｂ</v>
          </cell>
          <cell r="AE1942" t="str">
            <v>ロ</v>
          </cell>
          <cell r="AF1942">
            <v>15</v>
          </cell>
          <cell r="AI1942" t="str">
            <v>洞海湾</v>
          </cell>
          <cell r="AQ1942" t="str">
            <v/>
          </cell>
          <cell r="AR1942" t="str">
            <v>標準活性汚泥法</v>
          </cell>
          <cell r="AS1942" t="str">
            <v>4010001002</v>
          </cell>
          <cell r="AT1942" t="str">
            <v/>
          </cell>
          <cell r="AU1942" t="str">
            <v>11</v>
          </cell>
          <cell r="AV1942" t="str">
            <v>11</v>
          </cell>
          <cell r="AW1942">
            <v>1</v>
          </cell>
          <cell r="AX1942">
            <v>0</v>
          </cell>
          <cell r="AY1942">
            <v>0</v>
          </cell>
          <cell r="AZ1942">
            <v>0</v>
          </cell>
          <cell r="BA1942">
            <v>0</v>
          </cell>
          <cell r="BD1942" t="str">
            <v/>
          </cell>
          <cell r="BE1942">
            <v>1</v>
          </cell>
          <cell r="BG1942" t="str">
            <v>1111</v>
          </cell>
        </row>
        <row r="1943">
          <cell r="B1943" t="str">
            <v>G401000106100300</v>
          </cell>
          <cell r="C1943" t="str">
            <v>40.福岡県</v>
          </cell>
          <cell r="D1943" t="str">
            <v>100</v>
          </cell>
          <cell r="E1943" t="str">
            <v>北九州市</v>
          </cell>
          <cell r="F1943" t="str">
            <v>01</v>
          </cell>
          <cell r="G1943" t="str">
            <v>公共 単独</v>
          </cell>
          <cell r="H1943" t="str">
            <v>公共下水道</v>
          </cell>
          <cell r="I1943" t="str">
            <v>単独</v>
          </cell>
          <cell r="J1943" t="str">
            <v>003</v>
          </cell>
          <cell r="K1943" t="str">
            <v>新町浄化センター</v>
          </cell>
          <cell r="M1943" t="str">
            <v>1</v>
          </cell>
          <cell r="N1943" t="str">
            <v>1</v>
          </cell>
          <cell r="P1943" t="str">
            <v>1</v>
          </cell>
          <cell r="Q1943">
            <v>26390</v>
          </cell>
          <cell r="R1943" t="str">
            <v>昭和</v>
          </cell>
          <cell r="S1943">
            <v>47</v>
          </cell>
          <cell r="T1943">
            <v>4</v>
          </cell>
          <cell r="AB1943">
            <v>39479</v>
          </cell>
          <cell r="AC1943" t="str">
            <v>響灘関門海峡</v>
          </cell>
          <cell r="AD1943" t="str">
            <v>Ａ</v>
          </cell>
          <cell r="AE1943" t="str">
            <v>イ</v>
          </cell>
          <cell r="AF1943">
            <v>15</v>
          </cell>
          <cell r="AJ1943" t="str">
            <v>村中川</v>
          </cell>
          <cell r="AQ1943" t="str">
            <v/>
          </cell>
          <cell r="AR1943" t="str">
            <v>標準活性汚泥法</v>
          </cell>
          <cell r="AS1943" t="str">
            <v>4010001003</v>
          </cell>
          <cell r="AT1943" t="str">
            <v/>
          </cell>
          <cell r="AU1943" t="str">
            <v>10</v>
          </cell>
          <cell r="AV1943" t="str">
            <v>10</v>
          </cell>
          <cell r="AW1943">
            <v>1</v>
          </cell>
          <cell r="AX1943">
            <v>0</v>
          </cell>
          <cell r="AY1943">
            <v>0</v>
          </cell>
          <cell r="AZ1943">
            <v>0</v>
          </cell>
          <cell r="BA1943">
            <v>0</v>
          </cell>
          <cell r="BD1943" t="str">
            <v/>
          </cell>
          <cell r="BE1943">
            <v>1</v>
          </cell>
          <cell r="BG1943" t="str">
            <v>1101</v>
          </cell>
        </row>
        <row r="1944">
          <cell r="B1944" t="str">
            <v>G401000106100400</v>
          </cell>
          <cell r="C1944" t="str">
            <v>40.福岡県</v>
          </cell>
          <cell r="D1944" t="str">
            <v>100</v>
          </cell>
          <cell r="E1944" t="str">
            <v>北九州市</v>
          </cell>
          <cell r="F1944" t="str">
            <v>01</v>
          </cell>
          <cell r="G1944" t="str">
            <v>公共 単独</v>
          </cell>
          <cell r="H1944" t="str">
            <v>公共下水道</v>
          </cell>
          <cell r="I1944" t="str">
            <v>単独</v>
          </cell>
          <cell r="J1944" t="str">
            <v>004</v>
          </cell>
          <cell r="K1944" t="str">
            <v>北湊浄化センター</v>
          </cell>
          <cell r="M1944" t="str">
            <v>1</v>
          </cell>
          <cell r="N1944" t="str">
            <v>1</v>
          </cell>
          <cell r="P1944" t="str">
            <v>1</v>
          </cell>
          <cell r="Q1944">
            <v>26390</v>
          </cell>
          <cell r="R1944" t="str">
            <v>昭和</v>
          </cell>
          <cell r="S1944">
            <v>47</v>
          </cell>
          <cell r="T1944">
            <v>4</v>
          </cell>
          <cell r="AB1944">
            <v>43891</v>
          </cell>
          <cell r="AC1944" t="str">
            <v>響灘関門海峡</v>
          </cell>
          <cell r="AD1944" t="str">
            <v>Ａ</v>
          </cell>
          <cell r="AE1944" t="str">
            <v>イ</v>
          </cell>
          <cell r="AF1944">
            <v>15</v>
          </cell>
          <cell r="AJ1944" t="str">
            <v>新栄盛川第一支流</v>
          </cell>
          <cell r="AQ1944" t="str">
            <v/>
          </cell>
          <cell r="AR1944" t="str">
            <v>標準活性汚泥法</v>
          </cell>
          <cell r="AS1944" t="str">
            <v>4010001004</v>
          </cell>
          <cell r="AT1944" t="str">
            <v/>
          </cell>
          <cell r="AU1944" t="str">
            <v>10</v>
          </cell>
          <cell r="AV1944" t="str">
            <v>10</v>
          </cell>
          <cell r="AW1944">
            <v>1</v>
          </cell>
          <cell r="AX1944">
            <v>0</v>
          </cell>
          <cell r="AY1944">
            <v>0</v>
          </cell>
          <cell r="AZ1944">
            <v>0</v>
          </cell>
          <cell r="BA1944">
            <v>0</v>
          </cell>
          <cell r="BD1944" t="str">
            <v/>
          </cell>
          <cell r="BE1944">
            <v>1</v>
          </cell>
          <cell r="BG1944" t="str">
            <v>1101</v>
          </cell>
        </row>
        <row r="1945">
          <cell r="B1945" t="str">
            <v>G401000106100500</v>
          </cell>
          <cell r="C1945" t="str">
            <v>40.福岡県</v>
          </cell>
          <cell r="D1945" t="str">
            <v>100</v>
          </cell>
          <cell r="E1945" t="str">
            <v>北九州市</v>
          </cell>
          <cell r="F1945" t="str">
            <v>01</v>
          </cell>
          <cell r="G1945" t="str">
            <v>公共 単独</v>
          </cell>
          <cell r="H1945" t="str">
            <v>公共下水道</v>
          </cell>
          <cell r="I1945" t="str">
            <v>単独</v>
          </cell>
          <cell r="J1945" t="str">
            <v>005</v>
          </cell>
          <cell r="K1945" t="str">
            <v>曽根浄化センター</v>
          </cell>
          <cell r="M1945" t="str">
            <v>1</v>
          </cell>
          <cell r="N1945" t="str">
            <v>1</v>
          </cell>
          <cell r="P1945" t="str">
            <v>1</v>
          </cell>
          <cell r="Q1945">
            <v>29129</v>
          </cell>
          <cell r="R1945" t="str">
            <v>昭和</v>
          </cell>
          <cell r="S1945">
            <v>54</v>
          </cell>
          <cell r="T1945">
            <v>10</v>
          </cell>
          <cell r="AB1945">
            <v>95340</v>
          </cell>
          <cell r="AC1945" t="str">
            <v>周防灘</v>
          </cell>
          <cell r="AD1945" t="str">
            <v>Ａ</v>
          </cell>
          <cell r="AE1945" t="str">
            <v>ハ</v>
          </cell>
          <cell r="AF1945">
            <v>15</v>
          </cell>
          <cell r="AJ1945" t="str">
            <v>竹馬川</v>
          </cell>
          <cell r="AQ1945" t="str">
            <v/>
          </cell>
          <cell r="AR1945" t="str">
            <v>標準活性汚泥法</v>
          </cell>
          <cell r="AS1945" t="str">
            <v>4010001005</v>
          </cell>
          <cell r="AT1945" t="str">
            <v/>
          </cell>
          <cell r="AU1945" t="str">
            <v>10</v>
          </cell>
          <cell r="AV1945" t="str">
            <v>10</v>
          </cell>
          <cell r="AW1945">
            <v>1</v>
          </cell>
          <cell r="AX1945">
            <v>0</v>
          </cell>
          <cell r="AY1945">
            <v>0</v>
          </cell>
          <cell r="AZ1945">
            <v>0</v>
          </cell>
          <cell r="BA1945">
            <v>0</v>
          </cell>
          <cell r="BD1945" t="str">
            <v/>
          </cell>
          <cell r="BE1945">
            <v>1</v>
          </cell>
          <cell r="BG1945" t="str">
            <v>1101</v>
          </cell>
        </row>
        <row r="1946">
          <cell r="B1946" t="str">
            <v>G401300106100100</v>
          </cell>
          <cell r="C1946" t="str">
            <v>40.福岡県</v>
          </cell>
          <cell r="D1946" t="str">
            <v>130</v>
          </cell>
          <cell r="E1946" t="str">
            <v>福岡市</v>
          </cell>
          <cell r="F1946" t="str">
            <v>01</v>
          </cell>
          <cell r="G1946" t="str">
            <v>公共 単独</v>
          </cell>
          <cell r="H1946" t="str">
            <v>公共下水道</v>
          </cell>
          <cell r="I1946" t="str">
            <v>単独</v>
          </cell>
          <cell r="J1946" t="str">
            <v>001</v>
          </cell>
          <cell r="K1946" t="str">
            <v>中部水処理センター</v>
          </cell>
          <cell r="M1946" t="str">
            <v>1</v>
          </cell>
          <cell r="N1946" t="str">
            <v>1</v>
          </cell>
          <cell r="O1946" t="str">
            <v>1</v>
          </cell>
          <cell r="P1946" t="str">
            <v>1</v>
          </cell>
          <cell r="Q1946">
            <v>24289</v>
          </cell>
          <cell r="R1946" t="str">
            <v>昭和</v>
          </cell>
          <cell r="S1946">
            <v>41</v>
          </cell>
          <cell r="T1946">
            <v>7</v>
          </cell>
          <cell r="AB1946">
            <v>74378</v>
          </cell>
          <cell r="AC1946" t="str">
            <v>博多湾東部</v>
          </cell>
          <cell r="AD1946" t="str">
            <v>Ｂ</v>
          </cell>
          <cell r="AE1946" t="str">
            <v>ロ</v>
          </cell>
          <cell r="AF1946">
            <v>15</v>
          </cell>
          <cell r="AH1946">
            <v>3</v>
          </cell>
          <cell r="AI1946" t="str">
            <v>博多湾</v>
          </cell>
          <cell r="AQ1946" t="str">
            <v/>
          </cell>
          <cell r="AR1946" t="str">
            <v>嫌気好気活性汚泥法</v>
          </cell>
          <cell r="AS1946" t="str">
            <v>4013001001</v>
          </cell>
          <cell r="AT1946" t="str">
            <v/>
          </cell>
          <cell r="AU1946" t="str">
            <v>11</v>
          </cell>
          <cell r="AV1946" t="str">
            <v>11</v>
          </cell>
          <cell r="AW1946">
            <v>1</v>
          </cell>
          <cell r="AX1946">
            <v>0</v>
          </cell>
          <cell r="AY1946">
            <v>0</v>
          </cell>
          <cell r="AZ1946">
            <v>0</v>
          </cell>
          <cell r="BA1946">
            <v>0</v>
          </cell>
          <cell r="BD1946" t="str">
            <v/>
          </cell>
          <cell r="BE1946">
            <v>1</v>
          </cell>
          <cell r="BG1946" t="str">
            <v>1111</v>
          </cell>
        </row>
        <row r="1947">
          <cell r="B1947" t="str">
            <v>G401300106100200</v>
          </cell>
          <cell r="C1947" t="str">
            <v>40.福岡県</v>
          </cell>
          <cell r="D1947" t="str">
            <v>130</v>
          </cell>
          <cell r="E1947" t="str">
            <v>福岡市</v>
          </cell>
          <cell r="F1947" t="str">
            <v>01</v>
          </cell>
          <cell r="G1947" t="str">
            <v>公共 単独</v>
          </cell>
          <cell r="H1947" t="str">
            <v>公共下水道</v>
          </cell>
          <cell r="I1947" t="str">
            <v>単独</v>
          </cell>
          <cell r="J1947" t="str">
            <v>002</v>
          </cell>
          <cell r="K1947" t="str">
            <v>和白水処理センター</v>
          </cell>
          <cell r="M1947" t="str">
            <v>1</v>
          </cell>
          <cell r="N1947" t="str">
            <v>1</v>
          </cell>
          <cell r="O1947" t="str">
            <v>1</v>
          </cell>
          <cell r="Q1947">
            <v>27395</v>
          </cell>
          <cell r="R1947" t="str">
            <v>昭和</v>
          </cell>
          <cell r="S1947">
            <v>50</v>
          </cell>
          <cell r="T1947">
            <v>1</v>
          </cell>
          <cell r="AB1947">
            <v>57780</v>
          </cell>
          <cell r="AC1947" t="str">
            <v>博多湾東部海域</v>
          </cell>
          <cell r="AD1947" t="str">
            <v>Ｂ</v>
          </cell>
          <cell r="AE1947" t="str">
            <v>ロ</v>
          </cell>
          <cell r="AF1947">
            <v>15</v>
          </cell>
          <cell r="AH1947">
            <v>3</v>
          </cell>
          <cell r="AI1947" t="str">
            <v>博多湾東部海域</v>
          </cell>
          <cell r="AQ1947" t="str">
            <v/>
          </cell>
          <cell r="AR1947" t="str">
            <v>嫌気好気活性汚泥法</v>
          </cell>
          <cell r="AS1947" t="str">
            <v>4013001002</v>
          </cell>
          <cell r="AT1947" t="str">
            <v/>
          </cell>
          <cell r="AU1947" t="str">
            <v>11</v>
          </cell>
          <cell r="AV1947" t="str">
            <v>11</v>
          </cell>
          <cell r="AW1947">
            <v>0</v>
          </cell>
          <cell r="AX1947">
            <v>0</v>
          </cell>
          <cell r="AY1947">
            <v>0</v>
          </cell>
          <cell r="AZ1947">
            <v>0</v>
          </cell>
          <cell r="BA1947">
            <v>0</v>
          </cell>
          <cell r="BD1947" t="str">
            <v/>
          </cell>
          <cell r="BE1947">
            <v>1</v>
          </cell>
          <cell r="BG1947" t="str">
            <v>1110</v>
          </cell>
        </row>
        <row r="1948">
          <cell r="B1948" t="str">
            <v>G401300106100300</v>
          </cell>
          <cell r="C1948" t="str">
            <v>40.福岡県</v>
          </cell>
          <cell r="D1948" t="str">
            <v>130</v>
          </cell>
          <cell r="E1948" t="str">
            <v>福岡市</v>
          </cell>
          <cell r="F1948" t="str">
            <v>01</v>
          </cell>
          <cell r="G1948" t="str">
            <v>公共 単独</v>
          </cell>
          <cell r="H1948" t="str">
            <v>公共下水道</v>
          </cell>
          <cell r="I1948" t="str">
            <v>単独</v>
          </cell>
          <cell r="J1948" t="str">
            <v>003</v>
          </cell>
          <cell r="K1948" t="str">
            <v>東部水処理センター</v>
          </cell>
          <cell r="M1948" t="str">
            <v>1</v>
          </cell>
          <cell r="N1948" t="str">
            <v>1</v>
          </cell>
          <cell r="P1948" t="str">
            <v>1</v>
          </cell>
          <cell r="Q1948">
            <v>27485</v>
          </cell>
          <cell r="R1948" t="str">
            <v>昭和</v>
          </cell>
          <cell r="S1948">
            <v>50</v>
          </cell>
          <cell r="T1948">
            <v>4</v>
          </cell>
          <cell r="AB1948">
            <v>103300</v>
          </cell>
          <cell r="AC1948" t="str">
            <v>宇美川</v>
          </cell>
          <cell r="AD1948" t="str">
            <v>Ｃ</v>
          </cell>
          <cell r="AE1948" t="str">
            <v>ロ</v>
          </cell>
          <cell r="AF1948">
            <v>15</v>
          </cell>
          <cell r="AH1948">
            <v>3</v>
          </cell>
          <cell r="AJ1948" t="str">
            <v>宇美川</v>
          </cell>
          <cell r="AQ1948" t="str">
            <v/>
          </cell>
          <cell r="AR1948" t="str">
            <v>嫌気好気活性汚泥法</v>
          </cell>
          <cell r="AS1948" t="str">
            <v>4013001003</v>
          </cell>
          <cell r="AT1948" t="str">
            <v/>
          </cell>
          <cell r="AU1948" t="str">
            <v>10</v>
          </cell>
          <cell r="AV1948" t="str">
            <v>10</v>
          </cell>
          <cell r="AW1948">
            <v>1</v>
          </cell>
          <cell r="AX1948">
            <v>0</v>
          </cell>
          <cell r="AY1948">
            <v>0</v>
          </cell>
          <cell r="AZ1948">
            <v>0</v>
          </cell>
          <cell r="BA1948">
            <v>0</v>
          </cell>
          <cell r="BD1948" t="str">
            <v/>
          </cell>
          <cell r="BE1948">
            <v>1</v>
          </cell>
          <cell r="BG1948" t="str">
            <v>1101</v>
          </cell>
        </row>
        <row r="1949">
          <cell r="B1949" t="str">
            <v>G401300106100400</v>
          </cell>
          <cell r="C1949" t="str">
            <v>40.福岡県</v>
          </cell>
          <cell r="D1949" t="str">
            <v>130</v>
          </cell>
          <cell r="E1949" t="str">
            <v>福岡市</v>
          </cell>
          <cell r="F1949" t="str">
            <v>01</v>
          </cell>
          <cell r="G1949" t="str">
            <v>公共 単独</v>
          </cell>
          <cell r="H1949" t="str">
            <v>公共下水道</v>
          </cell>
          <cell r="I1949" t="str">
            <v>単独</v>
          </cell>
          <cell r="J1949" t="str">
            <v>004</v>
          </cell>
          <cell r="K1949" t="str">
            <v>西部水処理センター</v>
          </cell>
          <cell r="M1949" t="str">
            <v>1</v>
          </cell>
          <cell r="N1949" t="str">
            <v>1</v>
          </cell>
          <cell r="P1949" t="str">
            <v>1</v>
          </cell>
          <cell r="Q1949">
            <v>29556</v>
          </cell>
          <cell r="R1949" t="str">
            <v>昭和</v>
          </cell>
          <cell r="S1949">
            <v>55</v>
          </cell>
          <cell r="T1949">
            <v>12</v>
          </cell>
          <cell r="AB1949">
            <v>204230</v>
          </cell>
          <cell r="AC1949" t="str">
            <v>博多湾中部海域</v>
          </cell>
          <cell r="AD1949" t="str">
            <v>Ａ</v>
          </cell>
          <cell r="AE1949" t="str">
            <v>ロ</v>
          </cell>
          <cell r="AF1949">
            <v>15</v>
          </cell>
          <cell r="AH1949">
            <v>3</v>
          </cell>
          <cell r="AI1949" t="str">
            <v>博多湾</v>
          </cell>
          <cell r="AQ1949" t="str">
            <v/>
          </cell>
          <cell r="AR1949" t="str">
            <v>嫌気好気活性汚泥法</v>
          </cell>
          <cell r="AS1949" t="str">
            <v>4013001004</v>
          </cell>
          <cell r="AT1949" t="str">
            <v/>
          </cell>
          <cell r="AU1949" t="str">
            <v>10</v>
          </cell>
          <cell r="AV1949" t="str">
            <v>10</v>
          </cell>
          <cell r="AW1949">
            <v>1</v>
          </cell>
          <cell r="AX1949">
            <v>0</v>
          </cell>
          <cell r="AY1949">
            <v>0</v>
          </cell>
          <cell r="AZ1949">
            <v>0</v>
          </cell>
          <cell r="BA1949">
            <v>0</v>
          </cell>
          <cell r="BD1949" t="str">
            <v/>
          </cell>
          <cell r="BE1949">
            <v>1</v>
          </cell>
          <cell r="BG1949" t="str">
            <v>1101</v>
          </cell>
        </row>
        <row r="1950">
          <cell r="B1950" t="str">
            <v>G401300106100500</v>
          </cell>
          <cell r="C1950" t="str">
            <v>40.福岡県</v>
          </cell>
          <cell r="D1950" t="str">
            <v>130</v>
          </cell>
          <cell r="E1950" t="str">
            <v>福岡市</v>
          </cell>
          <cell r="F1950" t="str">
            <v>01</v>
          </cell>
          <cell r="G1950" t="str">
            <v>公共 単独</v>
          </cell>
          <cell r="H1950" t="str">
            <v>公共下水道</v>
          </cell>
          <cell r="I1950" t="str">
            <v>単独</v>
          </cell>
          <cell r="J1950" t="str">
            <v>005</v>
          </cell>
          <cell r="K1950" t="str">
            <v>西戸崎水処理センター</v>
          </cell>
          <cell r="M1950" t="str">
            <v>1</v>
          </cell>
          <cell r="N1950" t="str">
            <v>1</v>
          </cell>
          <cell r="P1950" t="str">
            <v>1</v>
          </cell>
          <cell r="Q1950">
            <v>29768</v>
          </cell>
          <cell r="R1950" t="str">
            <v>昭和</v>
          </cell>
          <cell r="S1950">
            <v>56</v>
          </cell>
          <cell r="T1950">
            <v>7</v>
          </cell>
          <cell r="AB1950">
            <v>27800</v>
          </cell>
          <cell r="AC1950" t="str">
            <v>博多湾</v>
          </cell>
          <cell r="AD1950" t="str">
            <v>Ｂ-Ⅲ</v>
          </cell>
          <cell r="AF1950">
            <v>15</v>
          </cell>
          <cell r="AH1950">
            <v>3</v>
          </cell>
          <cell r="AI1950" t="str">
            <v>博多湾</v>
          </cell>
          <cell r="AQ1950" t="str">
            <v/>
          </cell>
          <cell r="AR1950" t="str">
            <v>標準活性汚泥法</v>
          </cell>
          <cell r="AS1950" t="str">
            <v>4013001005</v>
          </cell>
          <cell r="AT1950" t="str">
            <v/>
          </cell>
          <cell r="AU1950" t="str">
            <v>10</v>
          </cell>
          <cell r="AV1950" t="str">
            <v>10</v>
          </cell>
          <cell r="AW1950">
            <v>1</v>
          </cell>
          <cell r="AX1950">
            <v>0</v>
          </cell>
          <cell r="AY1950">
            <v>0</v>
          </cell>
          <cell r="AZ1950">
            <v>0</v>
          </cell>
          <cell r="BA1950">
            <v>0</v>
          </cell>
          <cell r="BD1950" t="str">
            <v/>
          </cell>
          <cell r="BE1950">
            <v>1</v>
          </cell>
          <cell r="BG1950" t="str">
            <v>1101</v>
          </cell>
        </row>
        <row r="1951">
          <cell r="B1951" t="str">
            <v>G401300106100600</v>
          </cell>
          <cell r="C1951" t="str">
            <v>40.福岡県</v>
          </cell>
          <cell r="D1951" t="str">
            <v>130</v>
          </cell>
          <cell r="E1951" t="str">
            <v>福岡市</v>
          </cell>
          <cell r="F1951" t="str">
            <v>01</v>
          </cell>
          <cell r="G1951" t="str">
            <v>公共 単独</v>
          </cell>
          <cell r="H1951" t="str">
            <v>公共下水道</v>
          </cell>
          <cell r="I1951" t="str">
            <v>単独</v>
          </cell>
          <cell r="J1951" t="str">
            <v>006</v>
          </cell>
          <cell r="K1951" t="str">
            <v>福岡コンポスト工場</v>
          </cell>
          <cell r="Q1951">
            <v>34425</v>
          </cell>
          <cell r="R1951" t="str">
            <v>平成</v>
          </cell>
          <cell r="S1951">
            <v>6</v>
          </cell>
          <cell r="T1951">
            <v>4</v>
          </cell>
          <cell r="U1951" t="str">
            <v>廃止</v>
          </cell>
          <cell r="V1951">
            <v>40999</v>
          </cell>
          <cell r="W1951" t="str">
            <v>平成</v>
          </cell>
          <cell r="X1951">
            <v>24</v>
          </cell>
          <cell r="Y1951">
            <v>3</v>
          </cell>
          <cell r="AQ1951" t="str">
            <v>廃止</v>
          </cell>
          <cell r="AR1951" t="str">
            <v/>
          </cell>
          <cell r="AS1951" t="str">
            <v>4013001006</v>
          </cell>
          <cell r="AT1951">
            <v>1</v>
          </cell>
          <cell r="AU1951" t="str">
            <v>00</v>
          </cell>
          <cell r="AV1951" t="str">
            <v>00</v>
          </cell>
          <cell r="AW1951">
            <v>0</v>
          </cell>
          <cell r="AX1951">
            <v>0</v>
          </cell>
          <cell r="AY1951">
            <v>0</v>
          </cell>
          <cell r="AZ1951">
            <v>0</v>
          </cell>
          <cell r="BA1951">
            <v>0</v>
          </cell>
          <cell r="BD1951" t="str">
            <v/>
          </cell>
          <cell r="BE1951">
            <v>0</v>
          </cell>
          <cell r="BG1951">
            <v>9999</v>
          </cell>
        </row>
        <row r="1952">
          <cell r="B1952" t="str">
            <v>G402020106100100</v>
          </cell>
          <cell r="C1952" t="str">
            <v>40.福岡県</v>
          </cell>
          <cell r="D1952" t="str">
            <v>202</v>
          </cell>
          <cell r="E1952" t="str">
            <v>大牟田市</v>
          </cell>
          <cell r="F1952" t="str">
            <v>01</v>
          </cell>
          <cell r="G1952" t="str">
            <v>公共 単独</v>
          </cell>
          <cell r="H1952" t="str">
            <v>公共下水道</v>
          </cell>
          <cell r="I1952" t="str">
            <v>単独</v>
          </cell>
          <cell r="J1952" t="str">
            <v>001</v>
          </cell>
          <cell r="K1952" t="str">
            <v>北部浄化センター</v>
          </cell>
          <cell r="M1952" t="str">
            <v>1</v>
          </cell>
          <cell r="N1952" t="str">
            <v>1</v>
          </cell>
          <cell r="P1952" t="str">
            <v>1</v>
          </cell>
          <cell r="Q1952">
            <v>27576</v>
          </cell>
          <cell r="R1952" t="str">
            <v>昭和</v>
          </cell>
          <cell r="S1952">
            <v>50</v>
          </cell>
          <cell r="T1952">
            <v>7</v>
          </cell>
          <cell r="AB1952">
            <v>24270</v>
          </cell>
          <cell r="AC1952" t="str">
            <v>有明海（4）</v>
          </cell>
          <cell r="AD1952" t="str">
            <v>Ｂ</v>
          </cell>
          <cell r="AE1952" t="str">
            <v>イ</v>
          </cell>
          <cell r="AF1952">
            <v>15</v>
          </cell>
          <cell r="AJ1952" t="str">
            <v>堂面川</v>
          </cell>
          <cell r="AQ1952" t="str">
            <v/>
          </cell>
          <cell r="AR1952" t="str">
            <v>標準活性汚泥法</v>
          </cell>
          <cell r="AS1952" t="str">
            <v>4020201001</v>
          </cell>
          <cell r="AT1952" t="str">
            <v/>
          </cell>
          <cell r="AU1952" t="str">
            <v>10</v>
          </cell>
          <cell r="AV1952" t="str">
            <v>10</v>
          </cell>
          <cell r="AW1952">
            <v>1</v>
          </cell>
          <cell r="AX1952">
            <v>0</v>
          </cell>
          <cell r="AY1952">
            <v>0</v>
          </cell>
          <cell r="AZ1952">
            <v>0</v>
          </cell>
          <cell r="BA1952">
            <v>0</v>
          </cell>
          <cell r="BD1952" t="str">
            <v/>
          </cell>
          <cell r="BE1952">
            <v>1</v>
          </cell>
          <cell r="BG1952" t="str">
            <v>1101</v>
          </cell>
        </row>
        <row r="1953">
          <cell r="B1953" t="str">
            <v>G402020106100200</v>
          </cell>
          <cell r="C1953" t="str">
            <v>40.福岡県</v>
          </cell>
          <cell r="D1953" t="str">
            <v>202</v>
          </cell>
          <cell r="E1953" t="str">
            <v>大牟田市</v>
          </cell>
          <cell r="F1953" t="str">
            <v>01</v>
          </cell>
          <cell r="G1953" t="str">
            <v>公共 単独</v>
          </cell>
          <cell r="H1953" t="str">
            <v>公共下水道</v>
          </cell>
          <cell r="I1953" t="str">
            <v>単独</v>
          </cell>
          <cell r="J1953" t="str">
            <v>002</v>
          </cell>
          <cell r="K1953" t="str">
            <v>南部浄化センター</v>
          </cell>
          <cell r="M1953" t="str">
            <v>1</v>
          </cell>
          <cell r="N1953" t="str">
            <v>1</v>
          </cell>
          <cell r="Q1953">
            <v>36831</v>
          </cell>
          <cell r="R1953" t="str">
            <v>平成</v>
          </cell>
          <cell r="S1953">
            <v>12</v>
          </cell>
          <cell r="T1953">
            <v>11</v>
          </cell>
          <cell r="AB1953">
            <v>70000</v>
          </cell>
          <cell r="AC1953" t="str">
            <v>有明海(4)</v>
          </cell>
          <cell r="AD1953" t="str">
            <v>Ｂ</v>
          </cell>
          <cell r="AE1953" t="str">
            <v>イ</v>
          </cell>
          <cell r="AF1953">
            <v>15</v>
          </cell>
          <cell r="AJ1953" t="str">
            <v>大牟田川・諏訪川</v>
          </cell>
          <cell r="AL1953" t="str">
            <v>三井鉱山日の出前取水口</v>
          </cell>
          <cell r="AM1953">
            <v>4</v>
          </cell>
          <cell r="AO1953" t="str">
            <v>大牟田市</v>
          </cell>
          <cell r="AQ1953" t="str">
            <v/>
          </cell>
          <cell r="AR1953" t="str">
            <v>標準活性汚泥法</v>
          </cell>
          <cell r="AS1953" t="str">
            <v>4020201002</v>
          </cell>
          <cell r="AT1953" t="str">
            <v/>
          </cell>
          <cell r="AU1953" t="str">
            <v>10</v>
          </cell>
          <cell r="AV1953" t="str">
            <v>10</v>
          </cell>
          <cell r="AW1953">
            <v>0</v>
          </cell>
          <cell r="AX1953">
            <v>0</v>
          </cell>
          <cell r="AY1953">
            <v>0</v>
          </cell>
          <cell r="AZ1953">
            <v>0</v>
          </cell>
          <cell r="BA1953">
            <v>0</v>
          </cell>
          <cell r="BD1953" t="str">
            <v/>
          </cell>
          <cell r="BE1953">
            <v>1</v>
          </cell>
          <cell r="BG1953" t="str">
            <v>1100</v>
          </cell>
        </row>
        <row r="1954">
          <cell r="B1954" t="str">
            <v>G402030106100100</v>
          </cell>
          <cell r="C1954" t="str">
            <v>40.福岡県</v>
          </cell>
          <cell r="D1954" t="str">
            <v>203</v>
          </cell>
          <cell r="E1954" t="str">
            <v>久留米市</v>
          </cell>
          <cell r="F1954" t="str">
            <v>01</v>
          </cell>
          <cell r="G1954" t="str">
            <v>公共 単独</v>
          </cell>
          <cell r="H1954" t="str">
            <v>公共下水道</v>
          </cell>
          <cell r="I1954" t="str">
            <v>単独</v>
          </cell>
          <cell r="J1954" t="str">
            <v>001</v>
          </cell>
          <cell r="K1954" t="str">
            <v>中央浄化センター</v>
          </cell>
          <cell r="M1954" t="str">
            <v>1</v>
          </cell>
          <cell r="N1954" t="str">
            <v>1</v>
          </cell>
          <cell r="O1954" t="str">
            <v>1</v>
          </cell>
          <cell r="P1954" t="str">
            <v>1</v>
          </cell>
          <cell r="Q1954">
            <v>26420</v>
          </cell>
          <cell r="R1954" t="str">
            <v>昭和</v>
          </cell>
          <cell r="S1954">
            <v>47</v>
          </cell>
          <cell r="T1954">
            <v>5</v>
          </cell>
          <cell r="AB1954">
            <v>96400</v>
          </cell>
          <cell r="AC1954" t="str">
            <v>金丸川</v>
          </cell>
          <cell r="AD1954" t="str">
            <v>Ｃ</v>
          </cell>
          <cell r="AE1954" t="str">
            <v>ハ</v>
          </cell>
          <cell r="AF1954">
            <v>15</v>
          </cell>
          <cell r="AG1954">
            <v>14</v>
          </cell>
          <cell r="AH1954">
            <v>2.6</v>
          </cell>
          <cell r="AI1954" t="str">
            <v>金丸川</v>
          </cell>
          <cell r="AK1954" t="str">
            <v>筑後川</v>
          </cell>
          <cell r="AM1954">
            <v>0.3</v>
          </cell>
          <cell r="AO1954" t="str">
            <v>佐賀東部水道企業団</v>
          </cell>
          <cell r="AQ1954" t="str">
            <v/>
          </cell>
          <cell r="AR1954" t="str">
            <v>標準活性汚泥法</v>
          </cell>
          <cell r="AS1954" t="str">
            <v>4020301001</v>
          </cell>
          <cell r="AT1954" t="str">
            <v/>
          </cell>
          <cell r="AU1954" t="str">
            <v>11</v>
          </cell>
          <cell r="AV1954" t="str">
            <v>11</v>
          </cell>
          <cell r="AW1954">
            <v>1</v>
          </cell>
          <cell r="AX1954">
            <v>0</v>
          </cell>
          <cell r="AY1954">
            <v>0</v>
          </cell>
          <cell r="AZ1954">
            <v>0</v>
          </cell>
          <cell r="BA1954">
            <v>0</v>
          </cell>
          <cell r="BD1954" t="str">
            <v/>
          </cell>
          <cell r="BE1954">
            <v>1</v>
          </cell>
          <cell r="BG1954" t="str">
            <v>1111</v>
          </cell>
        </row>
        <row r="1955">
          <cell r="B1955" t="str">
            <v>G402030106100200</v>
          </cell>
          <cell r="C1955" t="str">
            <v>40.福岡県</v>
          </cell>
          <cell r="D1955" t="str">
            <v>203</v>
          </cell>
          <cell r="E1955" t="str">
            <v>久留米市</v>
          </cell>
          <cell r="F1955" t="str">
            <v>01</v>
          </cell>
          <cell r="G1955" t="str">
            <v>公共 単独</v>
          </cell>
          <cell r="H1955" t="str">
            <v>公共下水道</v>
          </cell>
          <cell r="I1955" t="str">
            <v>単独</v>
          </cell>
          <cell r="J1955" t="str">
            <v>002</v>
          </cell>
          <cell r="K1955" t="str">
            <v>南部浄化センター</v>
          </cell>
          <cell r="M1955" t="str">
            <v>1</v>
          </cell>
          <cell r="N1955" t="str">
            <v>1</v>
          </cell>
          <cell r="Q1955">
            <v>34425</v>
          </cell>
          <cell r="R1955" t="str">
            <v>平成</v>
          </cell>
          <cell r="S1955">
            <v>6</v>
          </cell>
          <cell r="T1955">
            <v>4</v>
          </cell>
          <cell r="AB1955">
            <v>121000</v>
          </cell>
          <cell r="AF1955">
            <v>15</v>
          </cell>
          <cell r="AG1955">
            <v>14</v>
          </cell>
          <cell r="AH1955">
            <v>2.6</v>
          </cell>
          <cell r="AI1955" t="str">
            <v>安武川</v>
          </cell>
          <cell r="AK1955" t="str">
            <v>筑後川</v>
          </cell>
          <cell r="AQ1955" t="str">
            <v/>
          </cell>
          <cell r="AR1955" t="str">
            <v>標準活性汚泥法</v>
          </cell>
          <cell r="AS1955" t="str">
            <v>4020301002</v>
          </cell>
          <cell r="AT1955" t="str">
            <v/>
          </cell>
          <cell r="AU1955" t="str">
            <v>10</v>
          </cell>
          <cell r="AV1955" t="str">
            <v>10</v>
          </cell>
          <cell r="AW1955">
            <v>0</v>
          </cell>
          <cell r="AX1955">
            <v>0</v>
          </cell>
          <cell r="AY1955">
            <v>0</v>
          </cell>
          <cell r="AZ1955">
            <v>0</v>
          </cell>
          <cell r="BA1955">
            <v>0</v>
          </cell>
          <cell r="BD1955" t="str">
            <v/>
          </cell>
          <cell r="BE1955">
            <v>1</v>
          </cell>
          <cell r="BG1955" t="str">
            <v>1100</v>
          </cell>
        </row>
        <row r="1956">
          <cell r="B1956" t="str">
            <v>G402030206100300</v>
          </cell>
          <cell r="C1956" t="str">
            <v>40.福岡県</v>
          </cell>
          <cell r="D1956" t="str">
            <v>203</v>
          </cell>
          <cell r="E1956" t="str">
            <v>久留米市</v>
          </cell>
          <cell r="F1956" t="str">
            <v>02</v>
          </cell>
          <cell r="G1956" t="str">
            <v>特環 単独</v>
          </cell>
          <cell r="H1956" t="str">
            <v>特定環境保全公共下水道</v>
          </cell>
          <cell r="I1956" t="str">
            <v>単独</v>
          </cell>
          <cell r="J1956" t="str">
            <v>003</v>
          </cell>
          <cell r="K1956" t="str">
            <v>田主丸浄化センター</v>
          </cell>
          <cell r="M1956" t="str">
            <v>1</v>
          </cell>
          <cell r="N1956" t="str">
            <v>1</v>
          </cell>
          <cell r="Q1956">
            <v>39508</v>
          </cell>
          <cell r="R1956" t="str">
            <v>平成</v>
          </cell>
          <cell r="S1956">
            <v>20</v>
          </cell>
          <cell r="T1956">
            <v>3</v>
          </cell>
          <cell r="AB1956">
            <v>13900</v>
          </cell>
          <cell r="AC1956" t="str">
            <v>巨瀬川</v>
          </cell>
          <cell r="AD1956" t="str">
            <v>ｂ</v>
          </cell>
          <cell r="AF1956">
            <v>15</v>
          </cell>
          <cell r="AI1956" t="str">
            <v>東本川</v>
          </cell>
          <cell r="AK1956" t="str">
            <v>筑後川</v>
          </cell>
          <cell r="AQ1956" t="str">
            <v/>
          </cell>
          <cell r="AR1956" t="str">
            <v>オキシディションディッチ法</v>
          </cell>
          <cell r="AS1956" t="str">
            <v>4020302003</v>
          </cell>
          <cell r="AT1956" t="str">
            <v/>
          </cell>
          <cell r="AU1956" t="str">
            <v>10</v>
          </cell>
          <cell r="AV1956" t="str">
            <v>10</v>
          </cell>
          <cell r="AW1956">
            <v>0</v>
          </cell>
          <cell r="AX1956">
            <v>0</v>
          </cell>
          <cell r="AY1956">
            <v>0</v>
          </cell>
          <cell r="AZ1956">
            <v>0</v>
          </cell>
          <cell r="BA1956">
            <v>0</v>
          </cell>
          <cell r="BD1956" t="str">
            <v/>
          </cell>
          <cell r="BE1956">
            <v>1</v>
          </cell>
          <cell r="BG1956" t="str">
            <v>1100</v>
          </cell>
        </row>
        <row r="1957">
          <cell r="B1957" t="str">
            <v>G402050106100100</v>
          </cell>
          <cell r="C1957" t="str">
            <v>40.福岡県</v>
          </cell>
          <cell r="D1957" t="str">
            <v>205</v>
          </cell>
          <cell r="E1957" t="str">
            <v>飯塚市</v>
          </cell>
          <cell r="F1957" t="str">
            <v>01</v>
          </cell>
          <cell r="G1957" t="str">
            <v>公共 単独</v>
          </cell>
          <cell r="H1957" t="str">
            <v>公共下水道</v>
          </cell>
          <cell r="I1957" t="str">
            <v>単独</v>
          </cell>
          <cell r="J1957" t="str">
            <v>001</v>
          </cell>
          <cell r="K1957" t="str">
            <v>飯塚終末処理場</v>
          </cell>
          <cell r="M1957" t="str">
            <v>1</v>
          </cell>
          <cell r="N1957" t="str">
            <v>1</v>
          </cell>
          <cell r="P1957" t="str">
            <v>1</v>
          </cell>
          <cell r="Q1957">
            <v>27120</v>
          </cell>
          <cell r="R1957" t="str">
            <v>昭和</v>
          </cell>
          <cell r="S1957">
            <v>49</v>
          </cell>
          <cell r="T1957">
            <v>4</v>
          </cell>
          <cell r="AB1957">
            <v>53800</v>
          </cell>
          <cell r="AC1957" t="str">
            <v>遠賀川</v>
          </cell>
          <cell r="AD1957" t="str">
            <v>Ｂ</v>
          </cell>
          <cell r="AE1957" t="str">
            <v>イ</v>
          </cell>
          <cell r="AF1957">
            <v>15</v>
          </cell>
          <cell r="AI1957" t="str">
            <v>遠賀川</v>
          </cell>
          <cell r="AL1957" t="str">
            <v>鯰田</v>
          </cell>
          <cell r="AM1957">
            <v>0.1</v>
          </cell>
          <cell r="AO1957" t="str">
            <v>飯塚市</v>
          </cell>
          <cell r="AQ1957" t="str">
            <v/>
          </cell>
          <cell r="AR1957" t="str">
            <v>標準活性汚泥法</v>
          </cell>
          <cell r="AS1957" t="str">
            <v>4020501001</v>
          </cell>
          <cell r="AT1957" t="str">
            <v/>
          </cell>
          <cell r="AU1957" t="str">
            <v>10</v>
          </cell>
          <cell r="AV1957" t="str">
            <v>10</v>
          </cell>
          <cell r="AW1957">
            <v>1</v>
          </cell>
          <cell r="AX1957">
            <v>0</v>
          </cell>
          <cell r="AY1957">
            <v>0</v>
          </cell>
          <cell r="AZ1957">
            <v>0</v>
          </cell>
          <cell r="BA1957">
            <v>0</v>
          </cell>
          <cell r="BD1957" t="str">
            <v/>
          </cell>
          <cell r="BE1957">
            <v>1</v>
          </cell>
          <cell r="BG1957" t="str">
            <v>1101</v>
          </cell>
        </row>
        <row r="1958">
          <cell r="B1958" t="str">
            <v>G402070106100100</v>
          </cell>
          <cell r="C1958" t="str">
            <v>40.福岡県</v>
          </cell>
          <cell r="D1958" t="str">
            <v>207</v>
          </cell>
          <cell r="E1958" t="str">
            <v>柳川市</v>
          </cell>
          <cell r="F1958" t="str">
            <v>01</v>
          </cell>
          <cell r="G1958" t="str">
            <v>公共 単独</v>
          </cell>
          <cell r="H1958" t="str">
            <v>公共下水道</v>
          </cell>
          <cell r="I1958" t="str">
            <v>単独</v>
          </cell>
          <cell r="J1958" t="str">
            <v>001</v>
          </cell>
          <cell r="K1958" t="str">
            <v>柳川浄化センター</v>
          </cell>
          <cell r="M1958" t="str">
            <v>1</v>
          </cell>
          <cell r="N1958" t="str">
            <v>1</v>
          </cell>
          <cell r="P1958" t="str">
            <v>1</v>
          </cell>
          <cell r="Q1958">
            <v>37316</v>
          </cell>
          <cell r="R1958" t="str">
            <v>平成</v>
          </cell>
          <cell r="S1958">
            <v>14</v>
          </cell>
          <cell r="T1958">
            <v>3</v>
          </cell>
          <cell r="AB1958">
            <v>66000</v>
          </cell>
          <cell r="AF1958">
            <v>6</v>
          </cell>
          <cell r="AI1958" t="str">
            <v>公共下水道雨水渠（クリーク）</v>
          </cell>
          <cell r="AK1958" t="str">
            <v>沖端川</v>
          </cell>
          <cell r="AQ1958" t="str">
            <v/>
          </cell>
          <cell r="AR1958" t="str">
            <v>オキシディションディッチ法</v>
          </cell>
          <cell r="AS1958" t="str">
            <v>4020701001</v>
          </cell>
          <cell r="AT1958" t="str">
            <v/>
          </cell>
          <cell r="AU1958" t="str">
            <v>10</v>
          </cell>
          <cell r="AV1958" t="str">
            <v>10</v>
          </cell>
          <cell r="AW1958">
            <v>1</v>
          </cell>
          <cell r="AX1958">
            <v>0</v>
          </cell>
          <cell r="AY1958">
            <v>0</v>
          </cell>
          <cell r="AZ1958">
            <v>0</v>
          </cell>
          <cell r="BA1958">
            <v>0</v>
          </cell>
          <cell r="BD1958" t="str">
            <v/>
          </cell>
          <cell r="BE1958">
            <v>1</v>
          </cell>
          <cell r="BG1958" t="str">
            <v>1101</v>
          </cell>
        </row>
        <row r="1959">
          <cell r="B1959" t="str">
            <v>G402120106100100</v>
          </cell>
          <cell r="C1959" t="str">
            <v>40.福岡県</v>
          </cell>
          <cell r="D1959" t="str">
            <v>212</v>
          </cell>
          <cell r="E1959" t="str">
            <v>大川市</v>
          </cell>
          <cell r="F1959" t="str">
            <v>01</v>
          </cell>
          <cell r="G1959" t="str">
            <v>公共 単独</v>
          </cell>
          <cell r="H1959" t="str">
            <v>公共下水道</v>
          </cell>
          <cell r="I1959" t="str">
            <v>単独</v>
          </cell>
          <cell r="J1959" t="str">
            <v>001</v>
          </cell>
          <cell r="K1959" t="str">
            <v>大川市水処理センター</v>
          </cell>
          <cell r="M1959" t="str">
            <v>1</v>
          </cell>
          <cell r="N1959" t="str">
            <v>1</v>
          </cell>
          <cell r="Q1959">
            <v>38899</v>
          </cell>
          <cell r="R1959" t="str">
            <v>平成</v>
          </cell>
          <cell r="S1959">
            <v>18</v>
          </cell>
          <cell r="T1959">
            <v>7</v>
          </cell>
          <cell r="AB1959">
            <v>60000</v>
          </cell>
          <cell r="AC1959" t="str">
            <v>有明海</v>
          </cell>
          <cell r="AD1959" t="str">
            <v>Ｂ</v>
          </cell>
          <cell r="AE1959" t="str">
            <v>イ</v>
          </cell>
          <cell r="AF1959">
            <v>15</v>
          </cell>
          <cell r="AK1959" t="str">
            <v>花宗川</v>
          </cell>
          <cell r="AQ1959" t="str">
            <v/>
          </cell>
          <cell r="AR1959" t="str">
            <v>オキシディションディッチ法</v>
          </cell>
          <cell r="AS1959" t="str">
            <v>4021201001</v>
          </cell>
          <cell r="AT1959" t="str">
            <v/>
          </cell>
          <cell r="AU1959" t="str">
            <v>10</v>
          </cell>
          <cell r="AV1959" t="str">
            <v>10</v>
          </cell>
          <cell r="AW1959">
            <v>0</v>
          </cell>
          <cell r="AX1959">
            <v>0</v>
          </cell>
          <cell r="AY1959">
            <v>0</v>
          </cell>
          <cell r="AZ1959">
            <v>0</v>
          </cell>
          <cell r="BA1959">
            <v>0</v>
          </cell>
          <cell r="BD1959" t="str">
            <v/>
          </cell>
          <cell r="BE1959">
            <v>1</v>
          </cell>
          <cell r="BG1959" t="str">
            <v>1100</v>
          </cell>
        </row>
        <row r="1960">
          <cell r="B1960" t="str">
            <v>G402130106100100</v>
          </cell>
          <cell r="C1960" t="str">
            <v>40.福岡県</v>
          </cell>
          <cell r="D1960" t="str">
            <v>213</v>
          </cell>
          <cell r="E1960" t="str">
            <v>行橋市</v>
          </cell>
          <cell r="F1960" t="str">
            <v>01</v>
          </cell>
          <cell r="G1960" t="str">
            <v>公共 単独</v>
          </cell>
          <cell r="H1960" t="str">
            <v>公共下水道</v>
          </cell>
          <cell r="I1960" t="str">
            <v>単独</v>
          </cell>
          <cell r="J1960" t="str">
            <v>001</v>
          </cell>
          <cell r="K1960" t="str">
            <v>行橋浄化センター</v>
          </cell>
          <cell r="M1960" t="str">
            <v>1</v>
          </cell>
          <cell r="N1960" t="str">
            <v>1</v>
          </cell>
          <cell r="Q1960">
            <v>37316</v>
          </cell>
          <cell r="R1960" t="str">
            <v>平成</v>
          </cell>
          <cell r="S1960">
            <v>14</v>
          </cell>
          <cell r="T1960">
            <v>3</v>
          </cell>
          <cell r="AB1960">
            <v>68500</v>
          </cell>
          <cell r="AC1960" t="str">
            <v>瀬戸内海</v>
          </cell>
          <cell r="AD1960" t="str">
            <v>Ａ</v>
          </cell>
          <cell r="AE1960" t="str">
            <v>イ</v>
          </cell>
          <cell r="AF1960">
            <v>15</v>
          </cell>
          <cell r="AG1960">
            <v>20</v>
          </cell>
          <cell r="AH1960">
            <v>2</v>
          </cell>
          <cell r="AI1960" t="str">
            <v>瀬戸内海</v>
          </cell>
          <cell r="AL1960" t="str">
            <v>行橋取水ポンプ場</v>
          </cell>
          <cell r="AM1960">
            <v>2.2999999999999998</v>
          </cell>
          <cell r="AO1960" t="str">
            <v>行橋市</v>
          </cell>
          <cell r="AQ1960" t="str">
            <v/>
          </cell>
          <cell r="AR1960" t="str">
            <v>標準活性汚泥法</v>
          </cell>
          <cell r="AS1960" t="str">
            <v>4021301001</v>
          </cell>
          <cell r="AT1960" t="str">
            <v/>
          </cell>
          <cell r="AU1960" t="str">
            <v>10</v>
          </cell>
          <cell r="AV1960" t="str">
            <v>10</v>
          </cell>
          <cell r="AW1960">
            <v>0</v>
          </cell>
          <cell r="AX1960">
            <v>0</v>
          </cell>
          <cell r="AY1960">
            <v>0</v>
          </cell>
          <cell r="AZ1960">
            <v>0</v>
          </cell>
          <cell r="BA1960">
            <v>0</v>
          </cell>
          <cell r="BD1960" t="str">
            <v/>
          </cell>
          <cell r="BE1960">
            <v>1</v>
          </cell>
          <cell r="BG1960" t="str">
            <v>1100</v>
          </cell>
        </row>
        <row r="1961">
          <cell r="B1961" t="str">
            <v>G402140106100100</v>
          </cell>
          <cell r="C1961" t="str">
            <v>40.福岡県</v>
          </cell>
          <cell r="D1961" t="str">
            <v>214</v>
          </cell>
          <cell r="E1961" t="str">
            <v>豊前市</v>
          </cell>
          <cell r="F1961" t="str">
            <v>01</v>
          </cell>
          <cell r="G1961" t="str">
            <v>公共 単独</v>
          </cell>
          <cell r="H1961" t="str">
            <v>公共下水道</v>
          </cell>
          <cell r="I1961" t="str">
            <v>単独</v>
          </cell>
          <cell r="J1961" t="str">
            <v>001</v>
          </cell>
          <cell r="K1961" t="str">
            <v>豊前市浄化センター</v>
          </cell>
          <cell r="M1961" t="str">
            <v>1</v>
          </cell>
          <cell r="N1961" t="str">
            <v>1</v>
          </cell>
          <cell r="Q1961">
            <v>35490</v>
          </cell>
          <cell r="R1961" t="str">
            <v>平成</v>
          </cell>
          <cell r="S1961">
            <v>9</v>
          </cell>
          <cell r="T1961">
            <v>3</v>
          </cell>
          <cell r="AB1961">
            <v>25133</v>
          </cell>
          <cell r="AC1961" t="str">
            <v>豊前地先海域</v>
          </cell>
          <cell r="AD1961" t="str">
            <v>Ａ</v>
          </cell>
          <cell r="AE1961" t="str">
            <v>ハ</v>
          </cell>
          <cell r="AF1961">
            <v>15</v>
          </cell>
          <cell r="AI1961" t="str">
            <v>宇島港</v>
          </cell>
          <cell r="AQ1961" t="str">
            <v/>
          </cell>
          <cell r="AR1961" t="str">
            <v>標準活性汚泥法</v>
          </cell>
          <cell r="AS1961" t="str">
            <v>4021401001</v>
          </cell>
          <cell r="AT1961" t="str">
            <v/>
          </cell>
          <cell r="AU1961" t="str">
            <v>10</v>
          </cell>
          <cell r="AV1961" t="str">
            <v>10</v>
          </cell>
          <cell r="AW1961">
            <v>0</v>
          </cell>
          <cell r="AX1961">
            <v>0</v>
          </cell>
          <cell r="AY1961">
            <v>0</v>
          </cell>
          <cell r="AZ1961">
            <v>0</v>
          </cell>
          <cell r="BA1961">
            <v>0</v>
          </cell>
          <cell r="BD1961" t="str">
            <v/>
          </cell>
          <cell r="BE1961">
            <v>1</v>
          </cell>
          <cell r="BG1961" t="str">
            <v>1100</v>
          </cell>
        </row>
        <row r="1962">
          <cell r="B1962" t="str">
            <v>G402200106100100</v>
          </cell>
          <cell r="C1962" t="str">
            <v>40.福岡県</v>
          </cell>
          <cell r="D1962" t="str">
            <v>220</v>
          </cell>
          <cell r="E1962" t="str">
            <v>宗像市</v>
          </cell>
          <cell r="F1962" t="str">
            <v>01</v>
          </cell>
          <cell r="G1962" t="str">
            <v>公共 単独</v>
          </cell>
          <cell r="H1962" t="str">
            <v>公共下水道</v>
          </cell>
          <cell r="I1962" t="str">
            <v>単独</v>
          </cell>
          <cell r="J1962" t="str">
            <v>001</v>
          </cell>
          <cell r="K1962" t="str">
            <v>宗像終末処理場</v>
          </cell>
          <cell r="M1962" t="str">
            <v>1</v>
          </cell>
          <cell r="N1962" t="str">
            <v>1</v>
          </cell>
          <cell r="Q1962">
            <v>25781</v>
          </cell>
          <cell r="R1962" t="str">
            <v>昭和</v>
          </cell>
          <cell r="S1962">
            <v>45</v>
          </cell>
          <cell r="T1962">
            <v>8</v>
          </cell>
          <cell r="U1962" t="str">
            <v>名称変更</v>
          </cell>
          <cell r="V1962">
            <v>30742</v>
          </cell>
          <cell r="W1962" t="str">
            <v>昭和</v>
          </cell>
          <cell r="X1962">
            <v>59</v>
          </cell>
          <cell r="Y1962">
            <v>3</v>
          </cell>
          <cell r="Z1962" t="str">
            <v>東郷下水処理場</v>
          </cell>
          <cell r="AA1962" t="str">
            <v>公共</v>
          </cell>
          <cell r="AB1962">
            <v>83300</v>
          </cell>
          <cell r="AC1962" t="str">
            <v>釣川</v>
          </cell>
          <cell r="AD1962" t="str">
            <v>Ｂ</v>
          </cell>
          <cell r="AE1962" t="str">
            <v>ハ</v>
          </cell>
          <cell r="AF1962">
            <v>7</v>
          </cell>
          <cell r="AG1962">
            <v>14</v>
          </cell>
          <cell r="AH1962">
            <v>0.6</v>
          </cell>
          <cell r="AJ1962" t="str">
            <v>釣川</v>
          </cell>
          <cell r="AL1962" t="str">
            <v>大井取水場</v>
          </cell>
          <cell r="AN1962">
            <v>0.4</v>
          </cell>
          <cell r="AO1962" t="str">
            <v>宗像市</v>
          </cell>
          <cell r="AQ1962" t="str">
            <v/>
          </cell>
          <cell r="AR1962" t="str">
            <v>循環式硝化脱窒法</v>
          </cell>
          <cell r="AS1962" t="str">
            <v>4022001001</v>
          </cell>
          <cell r="AT1962" t="str">
            <v/>
          </cell>
          <cell r="AU1962" t="str">
            <v>10</v>
          </cell>
          <cell r="AV1962" t="str">
            <v>10</v>
          </cell>
          <cell r="AW1962">
            <v>0</v>
          </cell>
          <cell r="AX1962">
            <v>0</v>
          </cell>
          <cell r="AY1962">
            <v>0</v>
          </cell>
          <cell r="AZ1962">
            <v>0</v>
          </cell>
          <cell r="BA1962">
            <v>0</v>
          </cell>
          <cell r="BD1962" t="str">
            <v/>
          </cell>
          <cell r="BE1962">
            <v>1</v>
          </cell>
          <cell r="BG1962" t="str">
            <v>1100</v>
          </cell>
        </row>
        <row r="1963">
          <cell r="B1963" t="str">
            <v>G402230106100100</v>
          </cell>
          <cell r="C1963" t="str">
            <v>40.福岡県</v>
          </cell>
          <cell r="D1963" t="str">
            <v>223</v>
          </cell>
          <cell r="E1963" t="str">
            <v>古賀市</v>
          </cell>
          <cell r="F1963" t="str">
            <v>01</v>
          </cell>
          <cell r="G1963" t="str">
            <v>公共 単独</v>
          </cell>
          <cell r="H1963" t="str">
            <v>公共下水道</v>
          </cell>
          <cell r="I1963" t="str">
            <v>単独</v>
          </cell>
          <cell r="J1963" t="str">
            <v>001</v>
          </cell>
          <cell r="K1963" t="str">
            <v>古賀水再生センター</v>
          </cell>
          <cell r="M1963" t="str">
            <v>1</v>
          </cell>
          <cell r="N1963" t="str">
            <v>1</v>
          </cell>
          <cell r="Q1963">
            <v>28611</v>
          </cell>
          <cell r="R1963" t="str">
            <v>昭和</v>
          </cell>
          <cell r="S1963">
            <v>53</v>
          </cell>
          <cell r="T1963">
            <v>5</v>
          </cell>
          <cell r="AB1963">
            <v>27470</v>
          </cell>
          <cell r="AC1963" t="str">
            <v>筑前海水域</v>
          </cell>
          <cell r="AD1963" t="str">
            <v>Ｂ</v>
          </cell>
          <cell r="AE1963" t="str">
            <v>ハ</v>
          </cell>
          <cell r="AF1963">
            <v>15</v>
          </cell>
          <cell r="AJ1963" t="str">
            <v>大根川</v>
          </cell>
          <cell r="AL1963" t="str">
            <v>花鶴取水口</v>
          </cell>
          <cell r="AM1963">
            <v>0.6</v>
          </cell>
          <cell r="AO1963" t="str">
            <v>古賀市</v>
          </cell>
          <cell r="AQ1963" t="str">
            <v/>
          </cell>
          <cell r="AR1963" t="str">
            <v>標準活性汚泥法</v>
          </cell>
          <cell r="AS1963" t="str">
            <v>4022301001</v>
          </cell>
          <cell r="AT1963" t="str">
            <v/>
          </cell>
          <cell r="AU1963" t="str">
            <v>10</v>
          </cell>
          <cell r="AV1963" t="str">
            <v>10</v>
          </cell>
          <cell r="AW1963">
            <v>0</v>
          </cell>
          <cell r="AX1963">
            <v>0</v>
          </cell>
          <cell r="AY1963">
            <v>0</v>
          </cell>
          <cell r="AZ1963">
            <v>0</v>
          </cell>
          <cell r="BA1963">
            <v>0</v>
          </cell>
          <cell r="BD1963" t="str">
            <v/>
          </cell>
          <cell r="BE1963">
            <v>1</v>
          </cell>
          <cell r="BG1963" t="str">
            <v>1100</v>
          </cell>
        </row>
        <row r="1964">
          <cell r="B1964" t="str">
            <v>G402240106100100</v>
          </cell>
          <cell r="C1964" t="str">
            <v>40.福岡県</v>
          </cell>
          <cell r="D1964" t="str">
            <v>224</v>
          </cell>
          <cell r="E1964" t="str">
            <v>福津市</v>
          </cell>
          <cell r="F1964" t="str">
            <v>01</v>
          </cell>
          <cell r="G1964" t="str">
            <v>公共 単独</v>
          </cell>
          <cell r="H1964" t="str">
            <v>公共下水道</v>
          </cell>
          <cell r="I1964" t="str">
            <v>単独</v>
          </cell>
          <cell r="J1964" t="str">
            <v>001</v>
          </cell>
          <cell r="K1964" t="str">
            <v>東部終末処理場</v>
          </cell>
          <cell r="M1964" t="str">
            <v>1</v>
          </cell>
          <cell r="N1964" t="str">
            <v>1</v>
          </cell>
          <cell r="Q1964">
            <v>24990</v>
          </cell>
          <cell r="R1964" t="str">
            <v>昭和</v>
          </cell>
          <cell r="S1964">
            <v>43</v>
          </cell>
          <cell r="T1964">
            <v>6</v>
          </cell>
          <cell r="AB1964">
            <v>2495</v>
          </cell>
          <cell r="AC1964" t="str">
            <v>西郷川</v>
          </cell>
          <cell r="AD1964" t="str">
            <v>Ｂ</v>
          </cell>
          <cell r="AE1964" t="str">
            <v>ハ</v>
          </cell>
          <cell r="AJ1964" t="str">
            <v>西郷川</v>
          </cell>
          <cell r="AL1964" t="str">
            <v>2号取水口</v>
          </cell>
          <cell r="AM1964">
            <v>1.2</v>
          </cell>
          <cell r="AO1964" t="str">
            <v>宗像地区事務組合</v>
          </cell>
          <cell r="AQ1964" t="str">
            <v/>
          </cell>
          <cell r="AR1964" t="str">
            <v>標準活性汚泥法</v>
          </cell>
          <cell r="AS1964" t="str">
            <v>4022401001</v>
          </cell>
          <cell r="AT1964" t="str">
            <v/>
          </cell>
          <cell r="AU1964" t="str">
            <v>10</v>
          </cell>
          <cell r="AV1964" t="str">
            <v>10</v>
          </cell>
          <cell r="AW1964">
            <v>0</v>
          </cell>
          <cell r="AX1964">
            <v>0</v>
          </cell>
          <cell r="AY1964">
            <v>0</v>
          </cell>
          <cell r="AZ1964">
            <v>0</v>
          </cell>
          <cell r="BA1964">
            <v>0</v>
          </cell>
          <cell r="BD1964" t="str">
            <v/>
          </cell>
          <cell r="BE1964">
            <v>1</v>
          </cell>
          <cell r="BG1964" t="str">
            <v>1100</v>
          </cell>
        </row>
        <row r="1965">
          <cell r="B1965" t="str">
            <v>G402240106100200</v>
          </cell>
          <cell r="C1965" t="str">
            <v>40.福岡県</v>
          </cell>
          <cell r="D1965" t="str">
            <v>224</v>
          </cell>
          <cell r="E1965" t="str">
            <v>福津市</v>
          </cell>
          <cell r="F1965" t="str">
            <v>01</v>
          </cell>
          <cell r="G1965" t="str">
            <v>公共 単独</v>
          </cell>
          <cell r="H1965" t="str">
            <v>公共下水道</v>
          </cell>
          <cell r="I1965" t="str">
            <v>単独</v>
          </cell>
          <cell r="J1965" t="str">
            <v>002</v>
          </cell>
          <cell r="K1965" t="str">
            <v>津屋崎浄化センター</v>
          </cell>
          <cell r="M1965" t="str">
            <v>1</v>
          </cell>
          <cell r="N1965" t="str">
            <v>1</v>
          </cell>
          <cell r="P1965" t="str">
            <v>1</v>
          </cell>
          <cell r="Q1965">
            <v>37316</v>
          </cell>
          <cell r="R1965" t="str">
            <v>平成</v>
          </cell>
          <cell r="S1965">
            <v>14</v>
          </cell>
          <cell r="T1965">
            <v>3</v>
          </cell>
          <cell r="AB1965">
            <v>30300</v>
          </cell>
          <cell r="AC1965" t="str">
            <v>筑前海</v>
          </cell>
          <cell r="AD1965" t="str">
            <v>Ａ</v>
          </cell>
          <cell r="AE1965" t="str">
            <v>イ</v>
          </cell>
          <cell r="AF1965">
            <v>15</v>
          </cell>
          <cell r="AI1965" t="str">
            <v>玄界灘</v>
          </cell>
          <cell r="AQ1965" t="str">
            <v/>
          </cell>
          <cell r="AR1965" t="str">
            <v>オキシディションディッチ法</v>
          </cell>
          <cell r="AS1965" t="str">
            <v>4022401002</v>
          </cell>
          <cell r="AT1965" t="str">
            <v/>
          </cell>
          <cell r="AU1965" t="str">
            <v>10</v>
          </cell>
          <cell r="AV1965" t="str">
            <v>10</v>
          </cell>
          <cell r="AW1965">
            <v>1</v>
          </cell>
          <cell r="AX1965">
            <v>0</v>
          </cell>
          <cell r="AY1965">
            <v>0</v>
          </cell>
          <cell r="AZ1965">
            <v>0</v>
          </cell>
          <cell r="BA1965">
            <v>0</v>
          </cell>
          <cell r="BD1965" t="str">
            <v/>
          </cell>
          <cell r="BE1965">
            <v>1</v>
          </cell>
          <cell r="BG1965" t="str">
            <v>1101</v>
          </cell>
        </row>
        <row r="1966">
          <cell r="B1966" t="str">
            <v>G402240106100300</v>
          </cell>
          <cell r="C1966" t="str">
            <v>40.福岡県</v>
          </cell>
          <cell r="D1966" t="str">
            <v>224</v>
          </cell>
          <cell r="E1966" t="str">
            <v>福津市</v>
          </cell>
          <cell r="F1966" t="str">
            <v>01</v>
          </cell>
          <cell r="G1966" t="str">
            <v>公共 単独</v>
          </cell>
          <cell r="H1966" t="str">
            <v>公共下水道</v>
          </cell>
          <cell r="I1966" t="str">
            <v>単独</v>
          </cell>
          <cell r="J1966" t="str">
            <v>003</v>
          </cell>
          <cell r="K1966" t="str">
            <v>福間浄化センター</v>
          </cell>
          <cell r="M1966" t="str">
            <v>1</v>
          </cell>
          <cell r="N1966" t="str">
            <v>1</v>
          </cell>
          <cell r="Q1966">
            <v>39508</v>
          </cell>
          <cell r="R1966" t="str">
            <v>平成</v>
          </cell>
          <cell r="S1966">
            <v>20</v>
          </cell>
          <cell r="T1966">
            <v>3</v>
          </cell>
          <cell r="AB1966">
            <v>56700</v>
          </cell>
          <cell r="AC1966" t="str">
            <v>西郷川</v>
          </cell>
          <cell r="AD1966" t="str">
            <v>Ｂ</v>
          </cell>
          <cell r="AE1966" t="str">
            <v>ハ</v>
          </cell>
          <cell r="AF1966">
            <v>10</v>
          </cell>
          <cell r="AG1966">
            <v>20</v>
          </cell>
          <cell r="AH1966">
            <v>3</v>
          </cell>
          <cell r="AJ1966" t="str">
            <v>西郷川</v>
          </cell>
          <cell r="AQ1966" t="str">
            <v/>
          </cell>
          <cell r="AR1966" t="str">
            <v>ステップ流入式多段硝化脱窒法</v>
          </cell>
          <cell r="AS1966" t="str">
            <v>4022401003</v>
          </cell>
          <cell r="AT1966" t="str">
            <v/>
          </cell>
          <cell r="AU1966" t="str">
            <v>10</v>
          </cell>
          <cell r="AV1966" t="str">
            <v>10</v>
          </cell>
          <cell r="AW1966">
            <v>0</v>
          </cell>
          <cell r="AX1966">
            <v>0</v>
          </cell>
          <cell r="AY1966">
            <v>0</v>
          </cell>
          <cell r="AZ1966">
            <v>0</v>
          </cell>
          <cell r="BA1966">
            <v>0</v>
          </cell>
          <cell r="BD1966" t="str">
            <v/>
          </cell>
          <cell r="BE1966">
            <v>1</v>
          </cell>
          <cell r="BG1966" t="str">
            <v>1100</v>
          </cell>
        </row>
        <row r="1967">
          <cell r="B1967" t="str">
            <v>G402250206100100</v>
          </cell>
          <cell r="C1967" t="str">
            <v>40.福岡県</v>
          </cell>
          <cell r="D1967" t="str">
            <v>225</v>
          </cell>
          <cell r="E1967" t="str">
            <v>うきは市</v>
          </cell>
          <cell r="F1967" t="str">
            <v>02</v>
          </cell>
          <cell r="G1967" t="str">
            <v>特環 単独</v>
          </cell>
          <cell r="H1967" t="str">
            <v>特定環境保全公共下水道</v>
          </cell>
          <cell r="I1967" t="str">
            <v>単独</v>
          </cell>
          <cell r="J1967" t="str">
            <v>001</v>
          </cell>
          <cell r="K1967" t="str">
            <v>浮羽浄化センター</v>
          </cell>
          <cell r="M1967" t="str">
            <v>1</v>
          </cell>
          <cell r="N1967" t="str">
            <v>1</v>
          </cell>
          <cell r="Q1967">
            <v>37653</v>
          </cell>
          <cell r="R1967" t="str">
            <v>平成</v>
          </cell>
          <cell r="S1967">
            <v>15</v>
          </cell>
          <cell r="T1967">
            <v>2</v>
          </cell>
          <cell r="AB1967">
            <v>26525</v>
          </cell>
          <cell r="AC1967" t="str">
            <v>筑後川</v>
          </cell>
          <cell r="AD1967" t="str">
            <v>Ａ</v>
          </cell>
          <cell r="AE1967" t="str">
            <v>イ</v>
          </cell>
          <cell r="AF1967">
            <v>15</v>
          </cell>
          <cell r="AJ1967" t="str">
            <v>井延川</v>
          </cell>
          <cell r="AK1967" t="str">
            <v>筑後川</v>
          </cell>
          <cell r="AL1967" t="str">
            <v>太郎原取水場</v>
          </cell>
          <cell r="AN1967">
            <v>22</v>
          </cell>
          <cell r="AO1967" t="str">
            <v>久留米市</v>
          </cell>
          <cell r="AQ1967" t="str">
            <v/>
          </cell>
          <cell r="AR1967" t="str">
            <v>オキシディションディッチ法</v>
          </cell>
          <cell r="AS1967" t="str">
            <v>4022502001</v>
          </cell>
          <cell r="AT1967" t="str">
            <v/>
          </cell>
          <cell r="AU1967" t="str">
            <v>10</v>
          </cell>
          <cell r="AV1967" t="str">
            <v>10</v>
          </cell>
          <cell r="AW1967">
            <v>0</v>
          </cell>
          <cell r="AX1967">
            <v>0</v>
          </cell>
          <cell r="AY1967">
            <v>0</v>
          </cell>
          <cell r="AZ1967">
            <v>0</v>
          </cell>
          <cell r="BA1967">
            <v>0</v>
          </cell>
          <cell r="BD1967" t="str">
            <v/>
          </cell>
          <cell r="BE1967">
            <v>1</v>
          </cell>
          <cell r="BG1967" t="str">
            <v>1100</v>
          </cell>
        </row>
        <row r="1968">
          <cell r="B1968" t="str">
            <v>G402250206100200</v>
          </cell>
          <cell r="C1968" t="str">
            <v>40.福岡県</v>
          </cell>
          <cell r="D1968" t="str">
            <v>225</v>
          </cell>
          <cell r="E1968" t="str">
            <v>うきは市</v>
          </cell>
          <cell r="F1968" t="str">
            <v>02</v>
          </cell>
          <cell r="G1968" t="str">
            <v>特環 単独</v>
          </cell>
          <cell r="H1968" t="str">
            <v>特定環境保全公共下水道</v>
          </cell>
          <cell r="I1968" t="str">
            <v>単独</v>
          </cell>
          <cell r="J1968" t="str">
            <v>002</v>
          </cell>
          <cell r="K1968" t="str">
            <v>吉井浄化センター</v>
          </cell>
          <cell r="M1968" t="str">
            <v>1</v>
          </cell>
          <cell r="N1968" t="str">
            <v>1</v>
          </cell>
          <cell r="Q1968">
            <v>37681</v>
          </cell>
          <cell r="R1968" t="str">
            <v>平成</v>
          </cell>
          <cell r="S1968">
            <v>15</v>
          </cell>
          <cell r="T1968">
            <v>3</v>
          </cell>
          <cell r="AB1968">
            <v>37584</v>
          </cell>
          <cell r="AC1968" t="str">
            <v>筑後川</v>
          </cell>
          <cell r="AD1968" t="str">
            <v>Ａ</v>
          </cell>
          <cell r="AE1968" t="str">
            <v>イ</v>
          </cell>
          <cell r="AF1968">
            <v>15</v>
          </cell>
          <cell r="AJ1968" t="str">
            <v>美津留川</v>
          </cell>
          <cell r="AK1968" t="str">
            <v>筑後川</v>
          </cell>
          <cell r="AL1968" t="str">
            <v>太郎原取水場</v>
          </cell>
          <cell r="AN1968">
            <v>17.5</v>
          </cell>
          <cell r="AO1968" t="str">
            <v>久留米市</v>
          </cell>
          <cell r="AQ1968" t="str">
            <v/>
          </cell>
          <cell r="AR1968" t="str">
            <v>オキシディションディッチ法</v>
          </cell>
          <cell r="AS1968" t="str">
            <v>4022502002</v>
          </cell>
          <cell r="AT1968" t="str">
            <v/>
          </cell>
          <cell r="AU1968" t="str">
            <v>10</v>
          </cell>
          <cell r="AV1968" t="str">
            <v>10</v>
          </cell>
          <cell r="AW1968">
            <v>0</v>
          </cell>
          <cell r="AX1968">
            <v>0</v>
          </cell>
          <cell r="AY1968">
            <v>0</v>
          </cell>
          <cell r="AZ1968">
            <v>0</v>
          </cell>
          <cell r="BA1968">
            <v>0</v>
          </cell>
          <cell r="BD1968" t="str">
            <v/>
          </cell>
          <cell r="BE1968">
            <v>1</v>
          </cell>
          <cell r="BG1968" t="str">
            <v>1100</v>
          </cell>
        </row>
        <row r="1969">
          <cell r="B1969" t="str">
            <v>G402250206100300</v>
          </cell>
          <cell r="C1969" t="str">
            <v>40.福岡県</v>
          </cell>
          <cell r="D1969" t="str">
            <v>225</v>
          </cell>
          <cell r="E1969" t="str">
            <v>うきは市</v>
          </cell>
          <cell r="F1969" t="str">
            <v>02</v>
          </cell>
          <cell r="G1969" t="str">
            <v>特環 単独</v>
          </cell>
          <cell r="H1969" t="str">
            <v>特定環境保全公共下水道</v>
          </cell>
          <cell r="I1969" t="str">
            <v>単独</v>
          </cell>
          <cell r="J1969" t="str">
            <v>003</v>
          </cell>
          <cell r="K1969" t="str">
            <v>屋部浄化センター</v>
          </cell>
          <cell r="M1969" t="str">
            <v>1</v>
          </cell>
          <cell r="N1969" t="str">
            <v>1</v>
          </cell>
          <cell r="Q1969">
            <v>35125</v>
          </cell>
          <cell r="R1969" t="str">
            <v>平成</v>
          </cell>
          <cell r="S1969">
            <v>8</v>
          </cell>
          <cell r="T1969">
            <v>3</v>
          </cell>
          <cell r="AB1969">
            <v>2048</v>
          </cell>
          <cell r="AC1969" t="str">
            <v>巨瀬川</v>
          </cell>
          <cell r="AD1969" t="str">
            <v>Ｂ</v>
          </cell>
          <cell r="AE1969" t="str">
            <v>ロ</v>
          </cell>
          <cell r="AF1969">
            <v>15</v>
          </cell>
          <cell r="AJ1969" t="str">
            <v>巨瀬川</v>
          </cell>
          <cell r="AK1969" t="str">
            <v>筑後川</v>
          </cell>
          <cell r="AL1969" t="str">
            <v>太郎原取水場</v>
          </cell>
          <cell r="AN1969">
            <v>19.600000000000001</v>
          </cell>
          <cell r="AO1969" t="str">
            <v>久留米市</v>
          </cell>
          <cell r="AQ1969" t="str">
            <v/>
          </cell>
          <cell r="AR1969" t="str">
            <v>接触酸化法</v>
          </cell>
          <cell r="AS1969" t="str">
            <v>4022502003</v>
          </cell>
          <cell r="AT1969" t="str">
            <v/>
          </cell>
          <cell r="AU1969" t="str">
            <v>10</v>
          </cell>
          <cell r="AV1969" t="str">
            <v>10</v>
          </cell>
          <cell r="AW1969">
            <v>0</v>
          </cell>
          <cell r="AX1969">
            <v>0</v>
          </cell>
          <cell r="AY1969">
            <v>0</v>
          </cell>
          <cell r="AZ1969">
            <v>0</v>
          </cell>
          <cell r="BA1969">
            <v>0</v>
          </cell>
          <cell r="BD1969" t="str">
            <v/>
          </cell>
          <cell r="BE1969">
            <v>1</v>
          </cell>
          <cell r="BG1969" t="str">
            <v>1100</v>
          </cell>
        </row>
        <row r="1970">
          <cell r="B1970" t="str">
            <v>G402280206100100</v>
          </cell>
          <cell r="C1970" t="str">
            <v>40.福岡県</v>
          </cell>
          <cell r="D1970" t="str">
            <v>228</v>
          </cell>
          <cell r="E1970" t="str">
            <v>朝倉市</v>
          </cell>
          <cell r="F1970" t="str">
            <v>02</v>
          </cell>
          <cell r="G1970" t="str">
            <v>特環 単独</v>
          </cell>
          <cell r="H1970" t="str">
            <v>特定環境保全公共下水道</v>
          </cell>
          <cell r="I1970" t="str">
            <v>単独</v>
          </cell>
          <cell r="J1970" t="str">
            <v>001</v>
          </cell>
          <cell r="K1970" t="str">
            <v>朝倉中央浄化センター</v>
          </cell>
          <cell r="M1970" t="str">
            <v>1</v>
          </cell>
          <cell r="N1970" t="str">
            <v>1</v>
          </cell>
          <cell r="Q1970">
            <v>35704</v>
          </cell>
          <cell r="R1970" t="str">
            <v>平成</v>
          </cell>
          <cell r="S1970">
            <v>9</v>
          </cell>
          <cell r="T1970">
            <v>10</v>
          </cell>
          <cell r="AB1970">
            <v>10594</v>
          </cell>
          <cell r="AC1970" t="str">
            <v>筑後川中流</v>
          </cell>
          <cell r="AD1970" t="str">
            <v>Ａ</v>
          </cell>
          <cell r="AE1970" t="str">
            <v>イ</v>
          </cell>
          <cell r="AF1970">
            <v>15</v>
          </cell>
          <cell r="AK1970" t="str">
            <v>桂川</v>
          </cell>
          <cell r="AL1970" t="str">
            <v>筑後大堰</v>
          </cell>
          <cell r="AN1970">
            <v>20</v>
          </cell>
          <cell r="AO1970" t="str">
            <v>福岡市ほか</v>
          </cell>
          <cell r="AQ1970" t="str">
            <v/>
          </cell>
          <cell r="AR1970" t="str">
            <v>オキシディションディッチ法</v>
          </cell>
          <cell r="AS1970" t="str">
            <v>4022802001</v>
          </cell>
          <cell r="AT1970" t="str">
            <v/>
          </cell>
          <cell r="AU1970" t="str">
            <v>10</v>
          </cell>
          <cell r="AV1970" t="str">
            <v>10</v>
          </cell>
          <cell r="AW1970">
            <v>0</v>
          </cell>
          <cell r="AX1970">
            <v>0</v>
          </cell>
          <cell r="AY1970">
            <v>0</v>
          </cell>
          <cell r="AZ1970">
            <v>0</v>
          </cell>
          <cell r="BA1970">
            <v>0</v>
          </cell>
          <cell r="BD1970" t="str">
            <v/>
          </cell>
          <cell r="BE1970">
            <v>1</v>
          </cell>
          <cell r="BG1970" t="str">
            <v>1100</v>
          </cell>
        </row>
        <row r="1971">
          <cell r="B1971" t="str">
            <v>G402280206100200</v>
          </cell>
          <cell r="C1971" t="str">
            <v>40.福岡県</v>
          </cell>
          <cell r="D1971" t="str">
            <v>228</v>
          </cell>
          <cell r="E1971" t="str">
            <v>朝倉市</v>
          </cell>
          <cell r="F1971" t="str">
            <v>02</v>
          </cell>
          <cell r="G1971" t="str">
            <v>特環 単独</v>
          </cell>
          <cell r="H1971" t="str">
            <v>特定環境保全公共下水道</v>
          </cell>
          <cell r="I1971" t="str">
            <v>単独</v>
          </cell>
          <cell r="J1971" t="str">
            <v>002</v>
          </cell>
          <cell r="K1971" t="str">
            <v>秋月浄化センター</v>
          </cell>
          <cell r="M1971" t="str">
            <v>1</v>
          </cell>
          <cell r="N1971" t="str">
            <v>1</v>
          </cell>
          <cell r="Q1971">
            <v>39508</v>
          </cell>
          <cell r="R1971" t="str">
            <v>平成</v>
          </cell>
          <cell r="S1971">
            <v>20</v>
          </cell>
          <cell r="T1971">
            <v>3</v>
          </cell>
          <cell r="AB1971">
            <v>4800</v>
          </cell>
          <cell r="AC1971" t="str">
            <v>筑後川中流</v>
          </cell>
          <cell r="AD1971" t="str">
            <v>Ａ</v>
          </cell>
          <cell r="AE1971" t="str">
            <v>イ</v>
          </cell>
          <cell r="AF1971">
            <v>10</v>
          </cell>
          <cell r="AK1971" t="str">
            <v>小石原川</v>
          </cell>
          <cell r="AL1971" t="str">
            <v>女男石頭首工</v>
          </cell>
          <cell r="AM1971">
            <v>0.3</v>
          </cell>
          <cell r="AO1971" t="str">
            <v>福岡市、朝倉市</v>
          </cell>
          <cell r="AQ1971" t="str">
            <v/>
          </cell>
          <cell r="AR1971" t="str">
            <v>オキシディションディッチ法</v>
          </cell>
          <cell r="AS1971" t="str">
            <v>4022802002</v>
          </cell>
          <cell r="AT1971" t="str">
            <v/>
          </cell>
          <cell r="AU1971" t="str">
            <v>10</v>
          </cell>
          <cell r="AV1971" t="str">
            <v>10</v>
          </cell>
          <cell r="AW1971">
            <v>0</v>
          </cell>
          <cell r="AX1971">
            <v>0</v>
          </cell>
          <cell r="AY1971">
            <v>0</v>
          </cell>
          <cell r="AZ1971">
            <v>0</v>
          </cell>
          <cell r="BA1971">
            <v>0</v>
          </cell>
          <cell r="BD1971" t="str">
            <v/>
          </cell>
          <cell r="BE1971">
            <v>1</v>
          </cell>
          <cell r="BG1971" t="str">
            <v>1100</v>
          </cell>
        </row>
        <row r="1972">
          <cell r="B1972" t="str">
            <v>G402290106100100</v>
          </cell>
          <cell r="C1972" t="str">
            <v>40.福岡県</v>
          </cell>
          <cell r="D1972" t="str">
            <v>229</v>
          </cell>
          <cell r="E1972" t="str">
            <v>みやま市</v>
          </cell>
          <cell r="F1972" t="str">
            <v>01</v>
          </cell>
          <cell r="G1972" t="str">
            <v>公共 単独</v>
          </cell>
          <cell r="H1972" t="str">
            <v>公共下水道</v>
          </cell>
          <cell r="I1972" t="str">
            <v>単独</v>
          </cell>
          <cell r="J1972" t="str">
            <v>001</v>
          </cell>
          <cell r="K1972" t="str">
            <v>上長田浄化センター</v>
          </cell>
          <cell r="M1972" t="str">
            <v>1</v>
          </cell>
          <cell r="N1972" t="str">
            <v>1</v>
          </cell>
          <cell r="Q1972">
            <v>34835</v>
          </cell>
          <cell r="R1972" t="str">
            <v>平成</v>
          </cell>
          <cell r="S1972">
            <v>7</v>
          </cell>
          <cell r="T1972">
            <v>5</v>
          </cell>
          <cell r="AB1972">
            <v>2805</v>
          </cell>
          <cell r="AC1972" t="str">
            <v>矢部川</v>
          </cell>
          <cell r="AD1972" t="str">
            <v>Ａ</v>
          </cell>
          <cell r="AE1972" t="str">
            <v>イ</v>
          </cell>
          <cell r="AF1972">
            <v>20</v>
          </cell>
          <cell r="AK1972" t="str">
            <v>矢部川</v>
          </cell>
          <cell r="AQ1972" t="str">
            <v/>
          </cell>
          <cell r="AR1972" t="str">
            <v>土壌被覆型礫間接触法</v>
          </cell>
          <cell r="AS1972" t="str">
            <v>4022901001</v>
          </cell>
          <cell r="AT1972" t="str">
            <v/>
          </cell>
          <cell r="AU1972" t="str">
            <v>10</v>
          </cell>
          <cell r="AV1972" t="str">
            <v>10</v>
          </cell>
          <cell r="AW1972">
            <v>0</v>
          </cell>
          <cell r="AX1972">
            <v>0</v>
          </cell>
          <cell r="AY1972">
            <v>0</v>
          </cell>
          <cell r="AZ1972">
            <v>0</v>
          </cell>
          <cell r="BA1972">
            <v>0</v>
          </cell>
          <cell r="BD1972" t="str">
            <v/>
          </cell>
          <cell r="BE1972">
            <v>1</v>
          </cell>
          <cell r="BG1972" t="str">
            <v>1100</v>
          </cell>
        </row>
        <row r="1973">
          <cell r="B1973" t="str">
            <v>G402300106100100</v>
          </cell>
          <cell r="C1973" t="str">
            <v>40.福岡県</v>
          </cell>
          <cell r="D1973" t="str">
            <v>230</v>
          </cell>
          <cell r="E1973" t="str">
            <v>糸島市</v>
          </cell>
          <cell r="F1973" t="str">
            <v>01</v>
          </cell>
          <cell r="G1973" t="str">
            <v>公共 単独</v>
          </cell>
          <cell r="H1973" t="str">
            <v>公共下水道</v>
          </cell>
          <cell r="I1973" t="str">
            <v>単独</v>
          </cell>
          <cell r="J1973" t="str">
            <v>001</v>
          </cell>
          <cell r="K1973" t="str">
            <v>前原下水管理センター</v>
          </cell>
          <cell r="M1973" t="str">
            <v>1</v>
          </cell>
          <cell r="N1973" t="str">
            <v>1</v>
          </cell>
          <cell r="Q1973">
            <v>33298</v>
          </cell>
          <cell r="R1973" t="str">
            <v>平成</v>
          </cell>
          <cell r="S1973">
            <v>3</v>
          </cell>
          <cell r="T1973">
            <v>3</v>
          </cell>
          <cell r="AB1973">
            <v>60020</v>
          </cell>
          <cell r="AC1973" t="str">
            <v>筑前海</v>
          </cell>
          <cell r="AD1973" t="str">
            <v>Ａ</v>
          </cell>
          <cell r="AE1973" t="str">
            <v>イ</v>
          </cell>
          <cell r="AF1973">
            <v>15</v>
          </cell>
          <cell r="AJ1973" t="str">
            <v>雷山川</v>
          </cell>
          <cell r="AQ1973" t="str">
            <v/>
          </cell>
          <cell r="AR1973" t="str">
            <v>標準活性汚泥法</v>
          </cell>
          <cell r="AS1973" t="str">
            <v>4023001001</v>
          </cell>
          <cell r="AT1973" t="str">
            <v/>
          </cell>
          <cell r="AU1973" t="str">
            <v>10</v>
          </cell>
          <cell r="AV1973" t="str">
            <v>10</v>
          </cell>
          <cell r="AW1973">
            <v>0</v>
          </cell>
          <cell r="AX1973">
            <v>0</v>
          </cell>
          <cell r="AY1973">
            <v>0</v>
          </cell>
          <cell r="AZ1973">
            <v>0</v>
          </cell>
          <cell r="BA1973">
            <v>0</v>
          </cell>
          <cell r="BD1973" t="str">
            <v/>
          </cell>
          <cell r="BE1973">
            <v>1</v>
          </cell>
          <cell r="BG1973" t="str">
            <v>1100</v>
          </cell>
        </row>
        <row r="1974">
          <cell r="B1974" t="str">
            <v>G402300206100200</v>
          </cell>
          <cell r="C1974" t="str">
            <v>40.福岡県</v>
          </cell>
          <cell r="D1974" t="str">
            <v>230</v>
          </cell>
          <cell r="E1974" t="str">
            <v>糸島市</v>
          </cell>
          <cell r="F1974" t="str">
            <v>02</v>
          </cell>
          <cell r="G1974" t="str">
            <v>特環 単独</v>
          </cell>
          <cell r="H1974" t="str">
            <v>特定環境保全公共下水道</v>
          </cell>
          <cell r="I1974" t="str">
            <v>単独</v>
          </cell>
          <cell r="J1974" t="str">
            <v>002</v>
          </cell>
          <cell r="K1974" t="str">
            <v>黒磯浄化センター</v>
          </cell>
          <cell r="M1974" t="str">
            <v>1</v>
          </cell>
          <cell r="N1974" t="str">
            <v>1</v>
          </cell>
          <cell r="Q1974">
            <v>35125</v>
          </cell>
          <cell r="R1974" t="str">
            <v>平成</v>
          </cell>
          <cell r="S1974">
            <v>8</v>
          </cell>
          <cell r="T1974">
            <v>3</v>
          </cell>
          <cell r="AB1974">
            <v>4785</v>
          </cell>
          <cell r="AC1974" t="str">
            <v>筑前海</v>
          </cell>
          <cell r="AD1974" t="str">
            <v>Ａ</v>
          </cell>
          <cell r="AE1974" t="str">
            <v>イ</v>
          </cell>
          <cell r="AF1974">
            <v>15</v>
          </cell>
          <cell r="AI1974" t="str">
            <v>筑前海</v>
          </cell>
          <cell r="AQ1974" t="str">
            <v/>
          </cell>
          <cell r="AR1974" t="str">
            <v>オキシディションディッチ法</v>
          </cell>
          <cell r="AS1974" t="str">
            <v>4023002002</v>
          </cell>
          <cell r="AT1974" t="str">
            <v/>
          </cell>
          <cell r="AU1974" t="str">
            <v>10</v>
          </cell>
          <cell r="AV1974" t="str">
            <v>10</v>
          </cell>
          <cell r="AW1974">
            <v>0</v>
          </cell>
          <cell r="AX1974">
            <v>0</v>
          </cell>
          <cell r="AY1974">
            <v>0</v>
          </cell>
          <cell r="AZ1974">
            <v>0</v>
          </cell>
          <cell r="BA1974">
            <v>0</v>
          </cell>
          <cell r="BD1974" t="str">
            <v/>
          </cell>
          <cell r="BE1974">
            <v>1</v>
          </cell>
          <cell r="BG1974" t="str">
            <v>1100</v>
          </cell>
        </row>
        <row r="1975">
          <cell r="B1975" t="str">
            <v>G403450106100100</v>
          </cell>
          <cell r="C1975" t="str">
            <v>40.福岡県</v>
          </cell>
          <cell r="D1975" t="str">
            <v>345</v>
          </cell>
          <cell r="E1975" t="str">
            <v>新宮町</v>
          </cell>
          <cell r="F1975" t="str">
            <v>01</v>
          </cell>
          <cell r="G1975" t="str">
            <v>公共 単独</v>
          </cell>
          <cell r="H1975" t="str">
            <v>公共下水道</v>
          </cell>
          <cell r="I1975" t="str">
            <v>単独</v>
          </cell>
          <cell r="J1975" t="str">
            <v>001</v>
          </cell>
          <cell r="K1975" t="str">
            <v>新宮中央浄化センター</v>
          </cell>
          <cell r="M1975" t="str">
            <v>1</v>
          </cell>
          <cell r="N1975" t="str">
            <v>1</v>
          </cell>
          <cell r="P1975" t="str">
            <v>1</v>
          </cell>
          <cell r="Q1975">
            <v>40238</v>
          </cell>
          <cell r="R1975" t="str">
            <v>平成</v>
          </cell>
          <cell r="S1975">
            <v>22</v>
          </cell>
          <cell r="T1975">
            <v>3</v>
          </cell>
          <cell r="AB1975">
            <v>10480</v>
          </cell>
          <cell r="AC1975" t="str">
            <v>湊川</v>
          </cell>
          <cell r="AD1975" t="str">
            <v>Ｃ</v>
          </cell>
          <cell r="AE1975" t="str">
            <v>ハ</v>
          </cell>
          <cell r="AF1975">
            <v>15</v>
          </cell>
          <cell r="AG1975">
            <v>14</v>
          </cell>
          <cell r="AJ1975" t="str">
            <v>牟田川</v>
          </cell>
          <cell r="AQ1975" t="str">
            <v/>
          </cell>
          <cell r="AR1975" t="str">
            <v>その他処理方法</v>
          </cell>
          <cell r="AS1975" t="str">
            <v>4034501001</v>
          </cell>
          <cell r="AT1975" t="str">
            <v/>
          </cell>
          <cell r="AU1975" t="str">
            <v>10</v>
          </cell>
          <cell r="AV1975" t="str">
            <v>10</v>
          </cell>
          <cell r="AW1975">
            <v>1</v>
          </cell>
          <cell r="AX1975">
            <v>0</v>
          </cell>
          <cell r="AY1975">
            <v>0</v>
          </cell>
          <cell r="AZ1975">
            <v>0</v>
          </cell>
          <cell r="BA1975">
            <v>0</v>
          </cell>
          <cell r="BD1975" t="str">
            <v/>
          </cell>
          <cell r="BE1975">
            <v>1</v>
          </cell>
          <cell r="BG1975" t="str">
            <v>1101</v>
          </cell>
        </row>
        <row r="1976">
          <cell r="B1976" t="str">
            <v>G403810106100100</v>
          </cell>
          <cell r="C1976" t="str">
            <v>40.福岡県</v>
          </cell>
          <cell r="D1976" t="str">
            <v>381</v>
          </cell>
          <cell r="E1976" t="str">
            <v>芦屋町</v>
          </cell>
          <cell r="F1976" t="str">
            <v>01</v>
          </cell>
          <cell r="G1976" t="str">
            <v>公共 単独</v>
          </cell>
          <cell r="H1976" t="str">
            <v>公共下水道</v>
          </cell>
          <cell r="I1976" t="str">
            <v>単独</v>
          </cell>
          <cell r="J1976" t="str">
            <v>001</v>
          </cell>
          <cell r="K1976" t="str">
            <v>芦屋町浄化センター</v>
          </cell>
          <cell r="M1976" t="str">
            <v>1</v>
          </cell>
          <cell r="N1976" t="str">
            <v>1</v>
          </cell>
          <cell r="P1976" t="str">
            <v>1</v>
          </cell>
          <cell r="Q1976">
            <v>30011</v>
          </cell>
          <cell r="R1976" t="str">
            <v>昭和</v>
          </cell>
          <cell r="S1976">
            <v>57</v>
          </cell>
          <cell r="T1976">
            <v>3</v>
          </cell>
          <cell r="AB1976">
            <v>43943</v>
          </cell>
          <cell r="AC1976" t="str">
            <v>遠賀川下流</v>
          </cell>
          <cell r="AD1976" t="str">
            <v>Ｂ</v>
          </cell>
          <cell r="AE1976" t="str">
            <v>イ</v>
          </cell>
          <cell r="AF1976">
            <v>15</v>
          </cell>
          <cell r="AK1976" t="str">
            <v>遠賀川</v>
          </cell>
          <cell r="AL1976" t="str">
            <v>猪熊取水口</v>
          </cell>
          <cell r="AM1976">
            <v>2.5</v>
          </cell>
          <cell r="AO1976" t="str">
            <v>北九州市</v>
          </cell>
          <cell r="AQ1976" t="str">
            <v/>
          </cell>
          <cell r="AR1976" t="str">
            <v>標準活性汚泥法</v>
          </cell>
          <cell r="AS1976" t="str">
            <v>4038101001</v>
          </cell>
          <cell r="AT1976" t="str">
            <v/>
          </cell>
          <cell r="AU1976" t="str">
            <v>10</v>
          </cell>
          <cell r="AV1976" t="str">
            <v>10</v>
          </cell>
          <cell r="AW1976">
            <v>1</v>
          </cell>
          <cell r="AX1976">
            <v>0</v>
          </cell>
          <cell r="AY1976">
            <v>0</v>
          </cell>
          <cell r="AZ1976">
            <v>0</v>
          </cell>
          <cell r="BA1976">
            <v>0</v>
          </cell>
          <cell r="BD1976" t="str">
            <v/>
          </cell>
          <cell r="BE1976">
            <v>1</v>
          </cell>
          <cell r="BG1976" t="str">
            <v>1101</v>
          </cell>
        </row>
        <row r="1977">
          <cell r="B1977" t="str">
            <v>G403830106100100</v>
          </cell>
          <cell r="C1977" t="str">
            <v>40.福岡県</v>
          </cell>
          <cell r="D1977" t="str">
            <v>383</v>
          </cell>
          <cell r="E1977" t="str">
            <v>岡垣町</v>
          </cell>
          <cell r="F1977" t="str">
            <v>01</v>
          </cell>
          <cell r="G1977" t="str">
            <v>公共 単独</v>
          </cell>
          <cell r="H1977" t="str">
            <v>公共下水道</v>
          </cell>
          <cell r="I1977" t="str">
            <v>単独</v>
          </cell>
          <cell r="J1977" t="str">
            <v>001</v>
          </cell>
          <cell r="K1977" t="str">
            <v>岡垣町浄化センター</v>
          </cell>
          <cell r="M1977" t="str">
            <v>1</v>
          </cell>
          <cell r="N1977" t="str">
            <v>1</v>
          </cell>
          <cell r="Q1977">
            <v>33298</v>
          </cell>
          <cell r="R1977" t="str">
            <v>平成</v>
          </cell>
          <cell r="S1977">
            <v>3</v>
          </cell>
          <cell r="T1977">
            <v>3</v>
          </cell>
          <cell r="AB1977">
            <v>44070</v>
          </cell>
          <cell r="AC1977" t="str">
            <v>筑前海水域</v>
          </cell>
          <cell r="AD1977" t="str">
            <v>Ｃ</v>
          </cell>
          <cell r="AE1977" t="str">
            <v>イ</v>
          </cell>
          <cell r="AF1977">
            <v>15</v>
          </cell>
          <cell r="AJ1977" t="str">
            <v>矢矧川（県営河川）</v>
          </cell>
          <cell r="AL1977" t="str">
            <v>無し</v>
          </cell>
          <cell r="AQ1977" t="str">
            <v/>
          </cell>
          <cell r="AR1977" t="str">
            <v>標準活性汚泥法</v>
          </cell>
          <cell r="AS1977" t="str">
            <v>4038301001</v>
          </cell>
          <cell r="AT1977" t="str">
            <v/>
          </cell>
          <cell r="AU1977" t="str">
            <v>10</v>
          </cell>
          <cell r="AV1977" t="str">
            <v>10</v>
          </cell>
          <cell r="AW1977">
            <v>0</v>
          </cell>
          <cell r="AX1977">
            <v>0</v>
          </cell>
          <cell r="AY1977">
            <v>0</v>
          </cell>
          <cell r="AZ1977">
            <v>0</v>
          </cell>
          <cell r="BA1977">
            <v>0</v>
          </cell>
          <cell r="BD1977" t="str">
            <v/>
          </cell>
          <cell r="BE1977">
            <v>1</v>
          </cell>
          <cell r="BG1977" t="str">
            <v>1100</v>
          </cell>
        </row>
        <row r="1978">
          <cell r="B1978" t="str">
            <v>G404470106100100</v>
          </cell>
          <cell r="C1978" t="str">
            <v>40.福岡県</v>
          </cell>
          <cell r="D1978" t="str">
            <v>447</v>
          </cell>
          <cell r="E1978" t="str">
            <v>筑前町</v>
          </cell>
          <cell r="F1978" t="str">
            <v>01</v>
          </cell>
          <cell r="G1978" t="str">
            <v>公共 単独</v>
          </cell>
          <cell r="H1978" t="str">
            <v>公共下水道</v>
          </cell>
          <cell r="I1978" t="str">
            <v>単独</v>
          </cell>
          <cell r="J1978" t="str">
            <v>001</v>
          </cell>
          <cell r="K1978" t="str">
            <v>三輪中央浄化センター</v>
          </cell>
          <cell r="M1978" t="str">
            <v>1</v>
          </cell>
          <cell r="N1978" t="str">
            <v>1</v>
          </cell>
          <cell r="Q1978">
            <v>36831</v>
          </cell>
          <cell r="R1978" t="str">
            <v>平成</v>
          </cell>
          <cell r="S1978">
            <v>12</v>
          </cell>
          <cell r="T1978">
            <v>11</v>
          </cell>
          <cell r="AB1978">
            <v>15646</v>
          </cell>
          <cell r="AC1978" t="str">
            <v>筑後川水域・大刀洗川</v>
          </cell>
          <cell r="AD1978" t="str">
            <v>Ｃ</v>
          </cell>
          <cell r="AE1978" t="str">
            <v>イ</v>
          </cell>
          <cell r="AF1978">
            <v>15</v>
          </cell>
          <cell r="AI1978" t="str">
            <v>農業用排水路</v>
          </cell>
          <cell r="AK1978" t="str">
            <v>大刀洗川</v>
          </cell>
          <cell r="AL1978" t="str">
            <v>福岡県南水道企業団東櫛原</v>
          </cell>
          <cell r="AN1978">
            <v>17.600000000000001</v>
          </cell>
          <cell r="AO1978" t="str">
            <v>久留米市他12市町1企業</v>
          </cell>
          <cell r="AQ1978" t="str">
            <v/>
          </cell>
          <cell r="AR1978" t="str">
            <v>オキシディションディッチ法</v>
          </cell>
          <cell r="AS1978" t="str">
            <v>4044701001</v>
          </cell>
          <cell r="AT1978" t="str">
            <v/>
          </cell>
          <cell r="AU1978" t="str">
            <v>10</v>
          </cell>
          <cell r="AV1978" t="str">
            <v>10</v>
          </cell>
          <cell r="AW1978">
            <v>0</v>
          </cell>
          <cell r="AX1978">
            <v>0</v>
          </cell>
          <cell r="AY1978">
            <v>0</v>
          </cell>
          <cell r="AZ1978">
            <v>0</v>
          </cell>
          <cell r="BA1978">
            <v>0</v>
          </cell>
          <cell r="BD1978" t="str">
            <v/>
          </cell>
          <cell r="BE1978">
            <v>1</v>
          </cell>
          <cell r="BG1978" t="str">
            <v>1100</v>
          </cell>
        </row>
        <row r="1979">
          <cell r="B1979" t="str">
            <v>G406210106100100</v>
          </cell>
          <cell r="C1979" t="str">
            <v>40.福岡県</v>
          </cell>
          <cell r="D1979" t="str">
            <v>621</v>
          </cell>
          <cell r="E1979" t="str">
            <v>苅田町</v>
          </cell>
          <cell r="F1979" t="str">
            <v>01</v>
          </cell>
          <cell r="G1979" t="str">
            <v>公共 単独</v>
          </cell>
          <cell r="H1979" t="str">
            <v>公共下水道</v>
          </cell>
          <cell r="I1979" t="str">
            <v>単独</v>
          </cell>
          <cell r="J1979" t="str">
            <v>001</v>
          </cell>
          <cell r="K1979" t="str">
            <v>苅田町浄化センター</v>
          </cell>
          <cell r="M1979" t="str">
            <v>1</v>
          </cell>
          <cell r="N1979" t="str">
            <v>1</v>
          </cell>
          <cell r="Q1979">
            <v>37347</v>
          </cell>
          <cell r="R1979" t="str">
            <v>平成</v>
          </cell>
          <cell r="S1979">
            <v>14</v>
          </cell>
          <cell r="T1979">
            <v>4</v>
          </cell>
          <cell r="AB1979">
            <v>61900</v>
          </cell>
          <cell r="AC1979" t="str">
            <v>瀬戸内</v>
          </cell>
          <cell r="AD1979" t="str">
            <v>Ａ</v>
          </cell>
          <cell r="AE1979" t="str">
            <v>ハ</v>
          </cell>
          <cell r="AF1979">
            <v>10</v>
          </cell>
          <cell r="AG1979">
            <v>20</v>
          </cell>
          <cell r="AH1979">
            <v>2</v>
          </cell>
          <cell r="AI1979" t="str">
            <v>殿川</v>
          </cell>
          <cell r="AL1979" t="str">
            <v>今川</v>
          </cell>
          <cell r="AM1979">
            <v>4.5999999999999996</v>
          </cell>
          <cell r="AN1979">
            <v>0.4</v>
          </cell>
          <cell r="AO1979" t="str">
            <v>行橋市</v>
          </cell>
          <cell r="AQ1979" t="str">
            <v/>
          </cell>
          <cell r="AR1979" t="str">
            <v>標準活性汚泥法</v>
          </cell>
          <cell r="AS1979" t="str">
            <v>4062101001</v>
          </cell>
          <cell r="AT1979" t="str">
            <v/>
          </cell>
          <cell r="AU1979" t="str">
            <v>10</v>
          </cell>
          <cell r="AV1979" t="str">
            <v>10</v>
          </cell>
          <cell r="AW1979">
            <v>0</v>
          </cell>
          <cell r="AX1979">
            <v>0</v>
          </cell>
          <cell r="AY1979">
            <v>0</v>
          </cell>
          <cell r="AZ1979">
            <v>0</v>
          </cell>
          <cell r="BA1979">
            <v>0</v>
          </cell>
          <cell r="BD1979" t="str">
            <v/>
          </cell>
          <cell r="BE1979">
            <v>1</v>
          </cell>
          <cell r="BG1979" t="str">
            <v>1100</v>
          </cell>
        </row>
        <row r="1980">
          <cell r="B1980" t="str">
            <v>G406250106100100</v>
          </cell>
          <cell r="C1980" t="str">
            <v>40.福岡県</v>
          </cell>
          <cell r="D1980" t="str">
            <v>625</v>
          </cell>
          <cell r="E1980" t="str">
            <v>みやこ町</v>
          </cell>
          <cell r="F1980" t="str">
            <v>01</v>
          </cell>
          <cell r="G1980" t="str">
            <v>公共 単独</v>
          </cell>
          <cell r="H1980" t="str">
            <v>公共下水道</v>
          </cell>
          <cell r="I1980" t="str">
            <v>単独</v>
          </cell>
          <cell r="J1980" t="str">
            <v>001</v>
          </cell>
          <cell r="K1980" t="str">
            <v>豊津浄化センター</v>
          </cell>
          <cell r="M1980" t="str">
            <v>1</v>
          </cell>
          <cell r="N1980" t="str">
            <v>1</v>
          </cell>
          <cell r="Q1980">
            <v>37530</v>
          </cell>
          <cell r="R1980" t="str">
            <v>平成</v>
          </cell>
          <cell r="S1980">
            <v>14</v>
          </cell>
          <cell r="T1980">
            <v>10</v>
          </cell>
          <cell r="AB1980">
            <v>3500</v>
          </cell>
          <cell r="AC1980" t="str">
            <v>豊前地先海域</v>
          </cell>
          <cell r="AD1980" t="str">
            <v>Ａ</v>
          </cell>
          <cell r="AE1980" t="str">
            <v>ハ</v>
          </cell>
          <cell r="AF1980">
            <v>15</v>
          </cell>
          <cell r="AG1980">
            <v>10</v>
          </cell>
          <cell r="AH1980">
            <v>2</v>
          </cell>
          <cell r="AJ1980" t="str">
            <v>今川</v>
          </cell>
          <cell r="AL1980" t="str">
            <v>行橋市大橋取水口</v>
          </cell>
          <cell r="AN1980">
            <v>4</v>
          </cell>
          <cell r="AO1980" t="str">
            <v>行橋市</v>
          </cell>
          <cell r="AQ1980" t="str">
            <v/>
          </cell>
          <cell r="AR1980" t="str">
            <v>長時間エアレーション法</v>
          </cell>
          <cell r="AS1980" t="str">
            <v>4062501001</v>
          </cell>
          <cell r="AT1980" t="str">
            <v/>
          </cell>
          <cell r="AU1980" t="str">
            <v>10</v>
          </cell>
          <cell r="AV1980" t="str">
            <v>10</v>
          </cell>
          <cell r="AW1980">
            <v>0</v>
          </cell>
          <cell r="AX1980">
            <v>0</v>
          </cell>
          <cell r="AY1980">
            <v>0</v>
          </cell>
          <cell r="AZ1980">
            <v>0</v>
          </cell>
          <cell r="BA1980">
            <v>0</v>
          </cell>
          <cell r="BD1980" t="str">
            <v/>
          </cell>
          <cell r="BE1980">
            <v>1</v>
          </cell>
          <cell r="BG1980" t="str">
            <v>1100</v>
          </cell>
        </row>
        <row r="1981">
          <cell r="B1981" t="str">
            <v>G406420106100100</v>
          </cell>
          <cell r="C1981" t="str">
            <v>40.福岡県</v>
          </cell>
          <cell r="D1981" t="str">
            <v>642</v>
          </cell>
          <cell r="E1981" t="str">
            <v>吉富町</v>
          </cell>
          <cell r="F1981" t="str">
            <v>01</v>
          </cell>
          <cell r="G1981" t="str">
            <v>公共 単独</v>
          </cell>
          <cell r="H1981" t="str">
            <v>公共下水道</v>
          </cell>
          <cell r="I1981" t="str">
            <v>単独</v>
          </cell>
          <cell r="J1981" t="str">
            <v>001</v>
          </cell>
          <cell r="K1981" t="str">
            <v>吉富クリーンセンター</v>
          </cell>
          <cell r="M1981" t="str">
            <v>1</v>
          </cell>
          <cell r="N1981" t="str">
            <v>1</v>
          </cell>
          <cell r="Q1981">
            <v>38047</v>
          </cell>
          <cell r="R1981" t="str">
            <v>平成</v>
          </cell>
          <cell r="S1981">
            <v>16</v>
          </cell>
          <cell r="T1981">
            <v>3</v>
          </cell>
          <cell r="AB1981">
            <v>12200</v>
          </cell>
          <cell r="AC1981" t="str">
            <v>豊前海地先海域</v>
          </cell>
          <cell r="AD1981" t="str">
            <v>Ａ</v>
          </cell>
          <cell r="AE1981" t="str">
            <v>ハ</v>
          </cell>
          <cell r="AF1981">
            <v>15</v>
          </cell>
          <cell r="AG1981">
            <v>10</v>
          </cell>
          <cell r="AH1981">
            <v>0.3</v>
          </cell>
          <cell r="AI1981" t="str">
            <v>豊前海</v>
          </cell>
          <cell r="AQ1981" t="str">
            <v/>
          </cell>
          <cell r="AR1981" t="str">
            <v>オキシディションディッチ法</v>
          </cell>
          <cell r="AS1981" t="str">
            <v>4064201001</v>
          </cell>
          <cell r="AT1981" t="str">
            <v/>
          </cell>
          <cell r="AU1981" t="str">
            <v>10</v>
          </cell>
          <cell r="AV1981" t="str">
            <v>10</v>
          </cell>
          <cell r="AW1981">
            <v>0</v>
          </cell>
          <cell r="AX1981">
            <v>0</v>
          </cell>
          <cell r="AY1981">
            <v>0</v>
          </cell>
          <cell r="AZ1981">
            <v>0</v>
          </cell>
          <cell r="BA1981">
            <v>0</v>
          </cell>
          <cell r="BD1981" t="str">
            <v/>
          </cell>
          <cell r="BE1981">
            <v>1</v>
          </cell>
          <cell r="BG1981" t="str">
            <v>1100</v>
          </cell>
        </row>
        <row r="1982">
          <cell r="B1982" t="str">
            <v>G406470206100100</v>
          </cell>
          <cell r="C1982" t="str">
            <v>40.福岡県</v>
          </cell>
          <cell r="D1982" t="str">
            <v>647</v>
          </cell>
          <cell r="E1982" t="str">
            <v>築上町</v>
          </cell>
          <cell r="F1982" t="str">
            <v>02</v>
          </cell>
          <cell r="G1982" t="str">
            <v>特環 単独</v>
          </cell>
          <cell r="H1982" t="str">
            <v>特定環境保全公共下水道</v>
          </cell>
          <cell r="I1982" t="str">
            <v>単独</v>
          </cell>
          <cell r="J1982" t="str">
            <v>001</v>
          </cell>
          <cell r="K1982" t="str">
            <v>築城浄化センター</v>
          </cell>
          <cell r="M1982" t="str">
            <v>1</v>
          </cell>
          <cell r="N1982" t="str">
            <v>1</v>
          </cell>
          <cell r="Q1982">
            <v>38806</v>
          </cell>
          <cell r="R1982" t="str">
            <v>平成</v>
          </cell>
          <cell r="S1982">
            <v>18</v>
          </cell>
          <cell r="T1982">
            <v>3</v>
          </cell>
          <cell r="AB1982">
            <v>8300</v>
          </cell>
          <cell r="AC1982" t="str">
            <v>豊前地先海域</v>
          </cell>
          <cell r="AD1982" t="str">
            <v>Ａ</v>
          </cell>
          <cell r="AE1982" t="str">
            <v>ハ</v>
          </cell>
          <cell r="AF1982">
            <v>15</v>
          </cell>
          <cell r="AI1982" t="str">
            <v>宮野川</v>
          </cell>
          <cell r="AQ1982" t="str">
            <v/>
          </cell>
          <cell r="AR1982" t="str">
            <v>オキシディションディッチ法</v>
          </cell>
          <cell r="AS1982" t="str">
            <v>4064702001</v>
          </cell>
          <cell r="AT1982" t="str">
            <v/>
          </cell>
          <cell r="AU1982" t="str">
            <v>10</v>
          </cell>
          <cell r="AV1982" t="str">
            <v>10</v>
          </cell>
          <cell r="AW1982">
            <v>0</v>
          </cell>
          <cell r="AX1982">
            <v>0</v>
          </cell>
          <cell r="AY1982">
            <v>0</v>
          </cell>
          <cell r="AZ1982">
            <v>0</v>
          </cell>
          <cell r="BA1982">
            <v>0</v>
          </cell>
          <cell r="BD1982" t="str">
            <v/>
          </cell>
          <cell r="BE1982">
            <v>1</v>
          </cell>
          <cell r="BG1982" t="str">
            <v>1100</v>
          </cell>
        </row>
        <row r="1983">
          <cell r="B1983" t="str">
            <v>G406470106100200</v>
          </cell>
          <cell r="C1983" t="str">
            <v>40.福岡県</v>
          </cell>
          <cell r="D1983" t="str">
            <v>647</v>
          </cell>
          <cell r="E1983" t="str">
            <v>築上町</v>
          </cell>
          <cell r="F1983" t="str">
            <v>01</v>
          </cell>
          <cell r="G1983" t="str">
            <v>公共 単独</v>
          </cell>
          <cell r="H1983" t="str">
            <v>公共下水道</v>
          </cell>
          <cell r="I1983" t="str">
            <v>単独</v>
          </cell>
          <cell r="J1983" t="str">
            <v>002</v>
          </cell>
          <cell r="K1983" t="str">
            <v>椎田浄化センター</v>
          </cell>
          <cell r="M1983" t="str">
            <v>1</v>
          </cell>
          <cell r="Q1983">
            <v>41362</v>
          </cell>
          <cell r="R1983" t="str">
            <v>平成</v>
          </cell>
          <cell r="S1983">
            <v>25</v>
          </cell>
          <cell r="T1983">
            <v>3</v>
          </cell>
          <cell r="AB1983">
            <v>8400</v>
          </cell>
          <cell r="AC1983" t="str">
            <v>豊前地先海域</v>
          </cell>
          <cell r="AD1983" t="str">
            <v>Ａ</v>
          </cell>
          <cell r="AE1983" t="str">
            <v>ハ</v>
          </cell>
          <cell r="AF1983">
            <v>15</v>
          </cell>
          <cell r="AI1983" t="str">
            <v>周防灘</v>
          </cell>
          <cell r="AQ1983" t="str">
            <v>新規</v>
          </cell>
          <cell r="AR1983" t="str">
            <v>オキシディションディッチ法</v>
          </cell>
          <cell r="AS1983" t="str">
            <v>4064701002</v>
          </cell>
          <cell r="AT1983" t="str">
            <v/>
          </cell>
          <cell r="AU1983" t="str">
            <v>00</v>
          </cell>
          <cell r="AV1983" t="str">
            <v>00</v>
          </cell>
          <cell r="AW1983">
            <v>0</v>
          </cell>
          <cell r="AX1983">
            <v>0</v>
          </cell>
          <cell r="AY1983">
            <v>0</v>
          </cell>
          <cell r="AZ1983">
            <v>0</v>
          </cell>
          <cell r="BA1983">
            <v>0</v>
          </cell>
          <cell r="BD1983" t="str">
            <v/>
          </cell>
          <cell r="BE1983">
            <v>1</v>
          </cell>
          <cell r="BG1983" t="str">
            <v>1000</v>
          </cell>
        </row>
        <row r="1984">
          <cell r="B1984" t="str">
            <v>G412010106100100</v>
          </cell>
          <cell r="C1984" t="str">
            <v>41.佐賀県</v>
          </cell>
          <cell r="D1984" t="str">
            <v>201</v>
          </cell>
          <cell r="E1984" t="str">
            <v>佐賀市</v>
          </cell>
          <cell r="F1984" t="str">
            <v>01</v>
          </cell>
          <cell r="G1984" t="str">
            <v>公共 単独</v>
          </cell>
          <cell r="H1984" t="str">
            <v>公共下水道</v>
          </cell>
          <cell r="I1984" t="str">
            <v>単独</v>
          </cell>
          <cell r="J1984" t="str">
            <v>001</v>
          </cell>
          <cell r="K1984" t="str">
            <v>下水浄化センター</v>
          </cell>
          <cell r="M1984" t="str">
            <v>1</v>
          </cell>
          <cell r="N1984" t="str">
            <v>1</v>
          </cell>
          <cell r="O1984" t="str">
            <v>1</v>
          </cell>
          <cell r="Q1984">
            <v>28795</v>
          </cell>
          <cell r="R1984" t="str">
            <v>昭和</v>
          </cell>
          <cell r="S1984">
            <v>53</v>
          </cell>
          <cell r="T1984">
            <v>11</v>
          </cell>
          <cell r="AB1984">
            <v>90290</v>
          </cell>
          <cell r="AC1984" t="str">
            <v>嘉瀬川</v>
          </cell>
          <cell r="AD1984" t="str">
            <v>Ｃ</v>
          </cell>
          <cell r="AE1984" t="str">
            <v>イ</v>
          </cell>
          <cell r="AF1984">
            <v>15</v>
          </cell>
          <cell r="AI1984" t="str">
            <v>本庄江川</v>
          </cell>
          <cell r="AL1984" t="str">
            <v>なし</v>
          </cell>
          <cell r="AQ1984" t="str">
            <v/>
          </cell>
          <cell r="AR1984" t="str">
            <v>その他処理方法</v>
          </cell>
          <cell r="AS1984" t="str">
            <v>4120101001</v>
          </cell>
          <cell r="AT1984" t="str">
            <v/>
          </cell>
          <cell r="AU1984" t="str">
            <v>11</v>
          </cell>
          <cell r="AV1984" t="str">
            <v>11</v>
          </cell>
          <cell r="AW1984">
            <v>0</v>
          </cell>
          <cell r="AX1984">
            <v>0</v>
          </cell>
          <cell r="AY1984">
            <v>0</v>
          </cell>
          <cell r="AZ1984">
            <v>0</v>
          </cell>
          <cell r="BA1984">
            <v>0</v>
          </cell>
          <cell r="BD1984" t="str">
            <v/>
          </cell>
          <cell r="BE1984">
            <v>1</v>
          </cell>
          <cell r="BG1984" t="str">
            <v>1110</v>
          </cell>
        </row>
        <row r="1985">
          <cell r="B1985" t="str">
            <v>G412010206100200</v>
          </cell>
          <cell r="C1985" t="str">
            <v>41.佐賀県</v>
          </cell>
          <cell r="D1985" t="str">
            <v>201</v>
          </cell>
          <cell r="E1985" t="str">
            <v>佐賀市</v>
          </cell>
          <cell r="F1985" t="str">
            <v>02</v>
          </cell>
          <cell r="G1985" t="str">
            <v>特環 単独</v>
          </cell>
          <cell r="H1985" t="str">
            <v>特定環境保全公共下水道</v>
          </cell>
          <cell r="I1985" t="str">
            <v>単独</v>
          </cell>
          <cell r="J1985" t="str">
            <v>002</v>
          </cell>
          <cell r="K1985" t="str">
            <v>久保田浄化センター</v>
          </cell>
          <cell r="M1985" t="str">
            <v>1</v>
          </cell>
          <cell r="N1985" t="str">
            <v>1</v>
          </cell>
          <cell r="Q1985">
            <v>37226</v>
          </cell>
          <cell r="R1985" t="str">
            <v>平成</v>
          </cell>
          <cell r="S1985">
            <v>13</v>
          </cell>
          <cell r="T1985">
            <v>12</v>
          </cell>
          <cell r="AB1985">
            <v>13755</v>
          </cell>
          <cell r="AC1985" t="str">
            <v>六角</v>
          </cell>
          <cell r="AD1985" t="str">
            <v>Ｅ</v>
          </cell>
          <cell r="AE1985" t="str">
            <v>ハ</v>
          </cell>
          <cell r="AF1985">
            <v>15</v>
          </cell>
          <cell r="AJ1985" t="str">
            <v>福所江</v>
          </cell>
          <cell r="AQ1985" t="str">
            <v/>
          </cell>
          <cell r="AR1985" t="str">
            <v>オキシディションディッチ法</v>
          </cell>
          <cell r="AS1985" t="str">
            <v>4120102002</v>
          </cell>
          <cell r="AT1985" t="str">
            <v/>
          </cell>
          <cell r="AU1985" t="str">
            <v>10</v>
          </cell>
          <cell r="AV1985" t="str">
            <v>10</v>
          </cell>
          <cell r="AW1985">
            <v>0</v>
          </cell>
          <cell r="AX1985">
            <v>0</v>
          </cell>
          <cell r="AY1985">
            <v>0</v>
          </cell>
          <cell r="AZ1985">
            <v>0</v>
          </cell>
          <cell r="BA1985">
            <v>0</v>
          </cell>
          <cell r="BD1985" t="str">
            <v/>
          </cell>
          <cell r="BE1985">
            <v>1</v>
          </cell>
          <cell r="BG1985" t="str">
            <v>1100</v>
          </cell>
        </row>
        <row r="1986">
          <cell r="B1986" t="str">
            <v>G412010206100300</v>
          </cell>
          <cell r="C1986" t="str">
            <v>41.佐賀県</v>
          </cell>
          <cell r="D1986" t="str">
            <v>201</v>
          </cell>
          <cell r="E1986" t="str">
            <v>佐賀市</v>
          </cell>
          <cell r="F1986" t="str">
            <v>02</v>
          </cell>
          <cell r="G1986" t="str">
            <v>特環 単独</v>
          </cell>
          <cell r="H1986" t="str">
            <v>特定環境保全公共下水道</v>
          </cell>
          <cell r="I1986" t="str">
            <v>単独</v>
          </cell>
          <cell r="J1986" t="str">
            <v>003</v>
          </cell>
          <cell r="K1986" t="str">
            <v>東与賀浄化センター</v>
          </cell>
          <cell r="M1986" t="str">
            <v>1</v>
          </cell>
          <cell r="N1986" t="str">
            <v>1</v>
          </cell>
          <cell r="Q1986">
            <v>36980</v>
          </cell>
          <cell r="R1986" t="str">
            <v>平成</v>
          </cell>
          <cell r="S1986">
            <v>13</v>
          </cell>
          <cell r="T1986">
            <v>3</v>
          </cell>
          <cell r="AB1986">
            <v>15053</v>
          </cell>
          <cell r="AC1986" t="str">
            <v>嘉瀬川</v>
          </cell>
          <cell r="AD1986" t="str">
            <v>Ｃ</v>
          </cell>
          <cell r="AE1986" t="str">
            <v>ハ</v>
          </cell>
          <cell r="AF1986">
            <v>15</v>
          </cell>
          <cell r="AI1986" t="str">
            <v>八田江</v>
          </cell>
          <cell r="AL1986" t="str">
            <v>多布施川</v>
          </cell>
          <cell r="AM1986">
            <v>10</v>
          </cell>
          <cell r="AO1986" t="str">
            <v>佐賀市</v>
          </cell>
          <cell r="AQ1986" t="str">
            <v/>
          </cell>
          <cell r="AR1986" t="str">
            <v>オキシディションディッチ法</v>
          </cell>
          <cell r="AS1986" t="str">
            <v>4120102003</v>
          </cell>
          <cell r="AT1986" t="str">
            <v/>
          </cell>
          <cell r="AU1986" t="str">
            <v>10</v>
          </cell>
          <cell r="AV1986" t="str">
            <v>10</v>
          </cell>
          <cell r="AW1986">
            <v>0</v>
          </cell>
          <cell r="AX1986">
            <v>0</v>
          </cell>
          <cell r="AY1986">
            <v>0</v>
          </cell>
          <cell r="AZ1986">
            <v>0</v>
          </cell>
          <cell r="BA1986">
            <v>0</v>
          </cell>
          <cell r="BD1986" t="str">
            <v/>
          </cell>
          <cell r="BE1986">
            <v>1</v>
          </cell>
          <cell r="BG1986" t="str">
            <v>1100</v>
          </cell>
        </row>
        <row r="1987">
          <cell r="B1987" t="str">
            <v>G412010206100400</v>
          </cell>
          <cell r="C1987" t="str">
            <v>41.佐賀県</v>
          </cell>
          <cell r="D1987" t="str">
            <v>201</v>
          </cell>
          <cell r="E1987" t="str">
            <v>佐賀市</v>
          </cell>
          <cell r="F1987" t="str">
            <v>02</v>
          </cell>
          <cell r="G1987" t="str">
            <v>特環 単独</v>
          </cell>
          <cell r="H1987" t="str">
            <v>特定環境保全公共下水道</v>
          </cell>
          <cell r="I1987" t="str">
            <v>単独</v>
          </cell>
          <cell r="J1987" t="str">
            <v>004</v>
          </cell>
          <cell r="K1987" t="str">
            <v>富士南部環境センター</v>
          </cell>
          <cell r="M1987" t="str">
            <v>1</v>
          </cell>
          <cell r="N1987" t="str">
            <v>1</v>
          </cell>
          <cell r="Q1987">
            <v>37347</v>
          </cell>
          <cell r="R1987" t="str">
            <v>平成</v>
          </cell>
          <cell r="S1987">
            <v>14</v>
          </cell>
          <cell r="T1987">
            <v>4</v>
          </cell>
          <cell r="AB1987">
            <v>11206.32</v>
          </cell>
          <cell r="AC1987" t="str">
            <v>嘉瀬川上流</v>
          </cell>
          <cell r="AD1987" t="str">
            <v>Ａ</v>
          </cell>
          <cell r="AE1987" t="str">
            <v>イ</v>
          </cell>
          <cell r="AF1987">
            <v>15</v>
          </cell>
          <cell r="AK1987" t="str">
            <v>嘉瀬川</v>
          </cell>
          <cell r="AQ1987" t="str">
            <v/>
          </cell>
          <cell r="AR1987" t="str">
            <v>オキシディションディッチ法</v>
          </cell>
          <cell r="AS1987" t="str">
            <v>4120102004</v>
          </cell>
          <cell r="AT1987" t="str">
            <v/>
          </cell>
          <cell r="AU1987" t="str">
            <v>10</v>
          </cell>
          <cell r="AV1987" t="str">
            <v>10</v>
          </cell>
          <cell r="AW1987">
            <v>0</v>
          </cell>
          <cell r="AX1987">
            <v>0</v>
          </cell>
          <cell r="AY1987">
            <v>0</v>
          </cell>
          <cell r="AZ1987">
            <v>0</v>
          </cell>
          <cell r="BA1987">
            <v>0</v>
          </cell>
          <cell r="BD1987" t="str">
            <v/>
          </cell>
          <cell r="BE1987">
            <v>1</v>
          </cell>
          <cell r="BG1987" t="str">
            <v>1100</v>
          </cell>
        </row>
        <row r="1988">
          <cell r="B1988" t="str">
            <v>G412020106100100</v>
          </cell>
          <cell r="C1988" t="str">
            <v>41.佐賀県</v>
          </cell>
          <cell r="D1988" t="str">
            <v>202</v>
          </cell>
          <cell r="E1988" t="str">
            <v>唐津市</v>
          </cell>
          <cell r="F1988" t="str">
            <v>01</v>
          </cell>
          <cell r="G1988" t="str">
            <v>公共 単独</v>
          </cell>
          <cell r="H1988" t="str">
            <v>公共下水道</v>
          </cell>
          <cell r="I1988" t="str">
            <v>単独</v>
          </cell>
          <cell r="J1988" t="str">
            <v>001</v>
          </cell>
          <cell r="K1988" t="str">
            <v>唐津市浄水センター</v>
          </cell>
          <cell r="M1988" t="str">
            <v>1</v>
          </cell>
          <cell r="N1988" t="str">
            <v>1</v>
          </cell>
          <cell r="Q1988">
            <v>30407</v>
          </cell>
          <cell r="R1988" t="str">
            <v>昭和</v>
          </cell>
          <cell r="S1988">
            <v>58</v>
          </cell>
          <cell r="T1988">
            <v>4</v>
          </cell>
          <cell r="AB1988">
            <v>98210</v>
          </cell>
          <cell r="AC1988" t="str">
            <v>唐津湾</v>
          </cell>
          <cell r="AD1988" t="str">
            <v>Ａ</v>
          </cell>
          <cell r="AE1988" t="str">
            <v>イ</v>
          </cell>
          <cell r="AF1988">
            <v>15</v>
          </cell>
          <cell r="AK1988" t="str">
            <v>松浦川</v>
          </cell>
          <cell r="AL1988" t="str">
            <v>双水</v>
          </cell>
          <cell r="AM1988">
            <v>12.5</v>
          </cell>
          <cell r="AO1988" t="str">
            <v>唐津市</v>
          </cell>
          <cell r="AQ1988" t="str">
            <v/>
          </cell>
          <cell r="AR1988" t="str">
            <v>標準活性汚泥法</v>
          </cell>
          <cell r="AS1988" t="str">
            <v>4120201001</v>
          </cell>
          <cell r="AT1988" t="str">
            <v/>
          </cell>
          <cell r="AU1988" t="str">
            <v>10</v>
          </cell>
          <cell r="AV1988" t="str">
            <v>10</v>
          </cell>
          <cell r="AW1988">
            <v>0</v>
          </cell>
          <cell r="AX1988">
            <v>0</v>
          </cell>
          <cell r="AY1988">
            <v>0</v>
          </cell>
          <cell r="AZ1988">
            <v>0</v>
          </cell>
          <cell r="BA1988">
            <v>0</v>
          </cell>
          <cell r="BD1988" t="str">
            <v/>
          </cell>
          <cell r="BE1988">
            <v>1</v>
          </cell>
          <cell r="BG1988" t="str">
            <v>1100</v>
          </cell>
        </row>
        <row r="1989">
          <cell r="B1989" t="str">
            <v>G412020106100200</v>
          </cell>
          <cell r="C1989" t="str">
            <v>41.佐賀県</v>
          </cell>
          <cell r="D1989" t="str">
            <v>202</v>
          </cell>
          <cell r="E1989" t="str">
            <v>唐津市</v>
          </cell>
          <cell r="F1989" t="str">
            <v>01</v>
          </cell>
          <cell r="G1989" t="str">
            <v>公共 単独</v>
          </cell>
          <cell r="H1989" t="str">
            <v>公共下水道</v>
          </cell>
          <cell r="I1989" t="str">
            <v>単独</v>
          </cell>
          <cell r="J1989" t="str">
            <v>002</v>
          </cell>
          <cell r="K1989" t="str">
            <v>浜玉浄水センター</v>
          </cell>
          <cell r="M1989" t="str">
            <v>1</v>
          </cell>
          <cell r="N1989" t="str">
            <v>1</v>
          </cell>
          <cell r="Q1989">
            <v>34759</v>
          </cell>
          <cell r="R1989" t="str">
            <v>平成</v>
          </cell>
          <cell r="S1989">
            <v>7</v>
          </cell>
          <cell r="T1989">
            <v>3</v>
          </cell>
          <cell r="AB1989">
            <v>13588</v>
          </cell>
          <cell r="AC1989" t="str">
            <v>玉島川</v>
          </cell>
          <cell r="AD1989" t="str">
            <v>Ａ</v>
          </cell>
          <cell r="AE1989" t="str">
            <v>イ</v>
          </cell>
          <cell r="AF1989">
            <v>15</v>
          </cell>
          <cell r="AK1989" t="str">
            <v>玉島川</v>
          </cell>
          <cell r="AL1989" t="str">
            <v>大江取水場</v>
          </cell>
          <cell r="AM1989">
            <v>1</v>
          </cell>
          <cell r="AO1989" t="str">
            <v>唐津市</v>
          </cell>
          <cell r="AQ1989" t="str">
            <v/>
          </cell>
          <cell r="AR1989" t="str">
            <v>オキシディションディッチ法</v>
          </cell>
          <cell r="AS1989" t="str">
            <v>4120201002</v>
          </cell>
          <cell r="AT1989" t="str">
            <v/>
          </cell>
          <cell r="AU1989" t="str">
            <v>10</v>
          </cell>
          <cell r="AV1989" t="str">
            <v>10</v>
          </cell>
          <cell r="AW1989">
            <v>0</v>
          </cell>
          <cell r="AX1989">
            <v>0</v>
          </cell>
          <cell r="AY1989">
            <v>0</v>
          </cell>
          <cell r="AZ1989">
            <v>0</v>
          </cell>
          <cell r="BA1989">
            <v>0</v>
          </cell>
          <cell r="BD1989" t="str">
            <v/>
          </cell>
          <cell r="BE1989">
            <v>1</v>
          </cell>
          <cell r="BG1989" t="str">
            <v>1100</v>
          </cell>
        </row>
        <row r="1990">
          <cell r="B1990" t="str">
            <v>G412020206100300</v>
          </cell>
          <cell r="C1990" t="str">
            <v>41.佐賀県</v>
          </cell>
          <cell r="D1990" t="str">
            <v>202</v>
          </cell>
          <cell r="E1990" t="str">
            <v>唐津市</v>
          </cell>
          <cell r="F1990" t="str">
            <v>02</v>
          </cell>
          <cell r="G1990" t="str">
            <v>特環 単独</v>
          </cell>
          <cell r="H1990" t="str">
            <v>特定環境保全公共下水道</v>
          </cell>
          <cell r="I1990" t="str">
            <v>単独</v>
          </cell>
          <cell r="J1990" t="str">
            <v>003</v>
          </cell>
          <cell r="K1990" t="str">
            <v>相知浄水センター</v>
          </cell>
          <cell r="M1990" t="str">
            <v>1</v>
          </cell>
          <cell r="N1990" t="str">
            <v>1</v>
          </cell>
          <cell r="Q1990">
            <v>35855</v>
          </cell>
          <cell r="R1990" t="str">
            <v>平成</v>
          </cell>
          <cell r="S1990">
            <v>10</v>
          </cell>
          <cell r="T1990">
            <v>3</v>
          </cell>
          <cell r="U1990" t="str">
            <v>名称変更</v>
          </cell>
          <cell r="V1990">
            <v>39264</v>
          </cell>
          <cell r="W1990" t="str">
            <v>平成</v>
          </cell>
          <cell r="X1990">
            <v>19</v>
          </cell>
          <cell r="Y1990">
            <v>7</v>
          </cell>
          <cell r="Z1990" t="str">
            <v>相知浄化センター</v>
          </cell>
          <cell r="AB1990">
            <v>15400</v>
          </cell>
          <cell r="AC1990" t="str">
            <v>松浦川</v>
          </cell>
          <cell r="AD1990" t="str">
            <v>Ａ</v>
          </cell>
          <cell r="AE1990" t="str">
            <v>イ</v>
          </cell>
          <cell r="AF1990">
            <v>15</v>
          </cell>
          <cell r="AK1990" t="str">
            <v>厳木川</v>
          </cell>
          <cell r="AL1990" t="str">
            <v>浦の川</v>
          </cell>
          <cell r="AM1990">
            <v>0.5</v>
          </cell>
          <cell r="AO1990" t="str">
            <v>唐津市</v>
          </cell>
          <cell r="AQ1990" t="str">
            <v/>
          </cell>
          <cell r="AR1990" t="str">
            <v>オキシディションディッチ法</v>
          </cell>
          <cell r="AS1990" t="str">
            <v>4120202003</v>
          </cell>
          <cell r="AT1990" t="str">
            <v/>
          </cell>
          <cell r="AU1990" t="str">
            <v>10</v>
          </cell>
          <cell r="AV1990" t="str">
            <v>10</v>
          </cell>
          <cell r="AW1990">
            <v>0</v>
          </cell>
          <cell r="AX1990">
            <v>0</v>
          </cell>
          <cell r="AY1990">
            <v>0</v>
          </cell>
          <cell r="AZ1990">
            <v>0</v>
          </cell>
          <cell r="BA1990">
            <v>0</v>
          </cell>
          <cell r="BD1990" t="str">
            <v/>
          </cell>
          <cell r="BE1990">
            <v>1</v>
          </cell>
          <cell r="BG1990" t="str">
            <v>1100</v>
          </cell>
        </row>
        <row r="1991">
          <cell r="B1991" t="str">
            <v>G412020206100400</v>
          </cell>
          <cell r="C1991" t="str">
            <v>41.佐賀県</v>
          </cell>
          <cell r="D1991" t="str">
            <v>202</v>
          </cell>
          <cell r="E1991" t="str">
            <v>唐津市</v>
          </cell>
          <cell r="F1991" t="str">
            <v>02</v>
          </cell>
          <cell r="G1991" t="str">
            <v>特環 単独</v>
          </cell>
          <cell r="H1991" t="str">
            <v>特定環境保全公共下水道</v>
          </cell>
          <cell r="I1991" t="str">
            <v>単独</v>
          </cell>
          <cell r="J1991" t="str">
            <v>004</v>
          </cell>
          <cell r="K1991" t="str">
            <v>北波多浄水センター</v>
          </cell>
          <cell r="M1991" t="str">
            <v>1</v>
          </cell>
          <cell r="N1991" t="str">
            <v>1</v>
          </cell>
          <cell r="Q1991">
            <v>38047</v>
          </cell>
          <cell r="R1991" t="str">
            <v>平成</v>
          </cell>
          <cell r="S1991">
            <v>16</v>
          </cell>
          <cell r="T1991">
            <v>3</v>
          </cell>
          <cell r="U1991" t="str">
            <v>名称変更</v>
          </cell>
          <cell r="V1991">
            <v>39264</v>
          </cell>
          <cell r="W1991" t="str">
            <v>平成</v>
          </cell>
          <cell r="X1991">
            <v>19</v>
          </cell>
          <cell r="Y1991">
            <v>7</v>
          </cell>
          <cell r="Z1991" t="str">
            <v>北波多浄化センター</v>
          </cell>
          <cell r="AB1991">
            <v>10828</v>
          </cell>
          <cell r="AC1991" t="str">
            <v>徳須恵川</v>
          </cell>
          <cell r="AD1991" t="str">
            <v>Ａ</v>
          </cell>
          <cell r="AE1991" t="str">
            <v>イ</v>
          </cell>
          <cell r="AF1991">
            <v>15</v>
          </cell>
          <cell r="AK1991" t="str">
            <v>徳須恵川</v>
          </cell>
          <cell r="AL1991" t="str">
            <v>北波多上水道</v>
          </cell>
          <cell r="AM1991">
            <v>3</v>
          </cell>
          <cell r="AO1991" t="str">
            <v>唐津市</v>
          </cell>
          <cell r="AQ1991" t="str">
            <v/>
          </cell>
          <cell r="AR1991" t="str">
            <v>オキシディションディッチ法</v>
          </cell>
          <cell r="AS1991" t="str">
            <v>4120202004</v>
          </cell>
          <cell r="AT1991" t="str">
            <v/>
          </cell>
          <cell r="AU1991" t="str">
            <v>10</v>
          </cell>
          <cell r="AV1991" t="str">
            <v>10</v>
          </cell>
          <cell r="AW1991">
            <v>0</v>
          </cell>
          <cell r="AX1991">
            <v>0</v>
          </cell>
          <cell r="AY1991">
            <v>0</v>
          </cell>
          <cell r="AZ1991">
            <v>0</v>
          </cell>
          <cell r="BA1991">
            <v>0</v>
          </cell>
          <cell r="BD1991" t="str">
            <v/>
          </cell>
          <cell r="BE1991">
            <v>1</v>
          </cell>
          <cell r="BG1991" t="str">
            <v>1100</v>
          </cell>
        </row>
        <row r="1992">
          <cell r="B1992" t="str">
            <v>G412020106100500</v>
          </cell>
          <cell r="C1992" t="str">
            <v>41.佐賀県</v>
          </cell>
          <cell r="D1992" t="str">
            <v>202</v>
          </cell>
          <cell r="E1992" t="str">
            <v>唐津市</v>
          </cell>
          <cell r="F1992" t="str">
            <v>01</v>
          </cell>
          <cell r="G1992" t="str">
            <v>公共 単独</v>
          </cell>
          <cell r="H1992" t="str">
            <v>公共下水道</v>
          </cell>
          <cell r="I1992" t="str">
            <v>単独</v>
          </cell>
          <cell r="J1992" t="str">
            <v>005</v>
          </cell>
          <cell r="K1992" t="str">
            <v>呼子浄水センター</v>
          </cell>
          <cell r="M1992" t="str">
            <v>1</v>
          </cell>
          <cell r="N1992" t="str">
            <v>1</v>
          </cell>
          <cell r="Q1992">
            <v>41000</v>
          </cell>
          <cell r="R1992" t="str">
            <v>平成</v>
          </cell>
          <cell r="S1992">
            <v>24</v>
          </cell>
          <cell r="T1992">
            <v>4</v>
          </cell>
          <cell r="AB1992">
            <v>5477</v>
          </cell>
          <cell r="AC1992" t="str">
            <v>玄海A水域</v>
          </cell>
          <cell r="AD1992" t="str">
            <v>Ａ</v>
          </cell>
          <cell r="AE1992" t="str">
            <v>イ</v>
          </cell>
          <cell r="AF1992">
            <v>15</v>
          </cell>
          <cell r="AI1992" t="str">
            <v>玄海A水域</v>
          </cell>
          <cell r="AQ1992" t="str">
            <v>新規</v>
          </cell>
          <cell r="AR1992" t="str">
            <v>その他処理方法</v>
          </cell>
          <cell r="AS1992" t="str">
            <v>4120201005</v>
          </cell>
          <cell r="AT1992" t="str">
            <v/>
          </cell>
          <cell r="AU1992" t="str">
            <v>10</v>
          </cell>
          <cell r="AV1992" t="str">
            <v>10</v>
          </cell>
          <cell r="AW1992">
            <v>0</v>
          </cell>
          <cell r="AX1992">
            <v>0</v>
          </cell>
          <cell r="AY1992">
            <v>0</v>
          </cell>
          <cell r="AZ1992">
            <v>0</v>
          </cell>
          <cell r="BA1992">
            <v>0</v>
          </cell>
          <cell r="BD1992" t="str">
            <v/>
          </cell>
          <cell r="BE1992">
            <v>1</v>
          </cell>
          <cell r="BG1992" t="str">
            <v>1100</v>
          </cell>
        </row>
        <row r="1993">
          <cell r="B1993" t="str">
            <v>G412030106100100</v>
          </cell>
          <cell r="C1993" t="str">
            <v>41.佐賀県</v>
          </cell>
          <cell r="D1993" t="str">
            <v>203</v>
          </cell>
          <cell r="E1993" t="str">
            <v>鳥栖市</v>
          </cell>
          <cell r="F1993" t="str">
            <v>01</v>
          </cell>
          <cell r="G1993" t="str">
            <v>公共 単独</v>
          </cell>
          <cell r="H1993" t="str">
            <v>公共下水道</v>
          </cell>
          <cell r="I1993" t="str">
            <v>単独</v>
          </cell>
          <cell r="J1993" t="str">
            <v>001</v>
          </cell>
          <cell r="K1993" t="str">
            <v>鳥栖市浄化センター</v>
          </cell>
          <cell r="M1993" t="str">
            <v>1</v>
          </cell>
          <cell r="N1993" t="str">
            <v>1</v>
          </cell>
          <cell r="Q1993">
            <v>32963</v>
          </cell>
          <cell r="R1993" t="str">
            <v>平成</v>
          </cell>
          <cell r="S1993">
            <v>2</v>
          </cell>
          <cell r="T1993">
            <v>3</v>
          </cell>
          <cell r="AB1993">
            <v>72600</v>
          </cell>
          <cell r="AC1993" t="str">
            <v>新宝満川</v>
          </cell>
          <cell r="AD1993" t="str">
            <v>Ｂ</v>
          </cell>
          <cell r="AF1993">
            <v>15</v>
          </cell>
          <cell r="AI1993" t="str">
            <v>轟木川</v>
          </cell>
          <cell r="AL1993" t="str">
            <v>北茂安浄水場</v>
          </cell>
          <cell r="AN1993">
            <v>50</v>
          </cell>
          <cell r="AO1993" t="str">
            <v>神埼市・みやき町</v>
          </cell>
          <cell r="AQ1993" t="str">
            <v/>
          </cell>
          <cell r="AR1993" t="str">
            <v>標準活性汚泥法</v>
          </cell>
          <cell r="AS1993" t="str">
            <v>4120301001</v>
          </cell>
          <cell r="AT1993" t="str">
            <v/>
          </cell>
          <cell r="AU1993" t="str">
            <v>10</v>
          </cell>
          <cell r="AV1993" t="str">
            <v>10</v>
          </cell>
          <cell r="AW1993">
            <v>0</v>
          </cell>
          <cell r="AX1993">
            <v>0</v>
          </cell>
          <cell r="AY1993">
            <v>0</v>
          </cell>
          <cell r="AZ1993">
            <v>0</v>
          </cell>
          <cell r="BA1993">
            <v>0</v>
          </cell>
          <cell r="BD1993" t="str">
            <v/>
          </cell>
          <cell r="BE1993">
            <v>1</v>
          </cell>
          <cell r="BG1993" t="str">
            <v>1100</v>
          </cell>
        </row>
        <row r="1994">
          <cell r="B1994" t="str">
            <v>G412040106100100</v>
          </cell>
          <cell r="C1994" t="str">
            <v>41.佐賀県</v>
          </cell>
          <cell r="D1994" t="str">
            <v>204</v>
          </cell>
          <cell r="E1994" t="str">
            <v>多久市</v>
          </cell>
          <cell r="F1994" t="str">
            <v>01</v>
          </cell>
          <cell r="G1994" t="str">
            <v>公共 単独</v>
          </cell>
          <cell r="H1994" t="str">
            <v>公共下水道</v>
          </cell>
          <cell r="I1994" t="str">
            <v>単独</v>
          </cell>
          <cell r="J1994" t="str">
            <v>001</v>
          </cell>
          <cell r="K1994" t="str">
            <v>多久みず環境保全センター</v>
          </cell>
          <cell r="M1994" t="str">
            <v>1</v>
          </cell>
          <cell r="Q1994">
            <v>38777</v>
          </cell>
          <cell r="R1994" t="str">
            <v>平成</v>
          </cell>
          <cell r="S1994">
            <v>18</v>
          </cell>
          <cell r="T1994">
            <v>3</v>
          </cell>
          <cell r="AB1994">
            <v>18774</v>
          </cell>
          <cell r="AC1994" t="str">
            <v>牛津川</v>
          </cell>
          <cell r="AD1994" t="str">
            <v>Ｃ</v>
          </cell>
          <cell r="AE1994" t="str">
            <v>イ</v>
          </cell>
          <cell r="AF1994">
            <v>15</v>
          </cell>
          <cell r="AI1994" t="str">
            <v>中通川</v>
          </cell>
          <cell r="AQ1994" t="str">
            <v/>
          </cell>
          <cell r="AR1994" t="str">
            <v>嫌気好気ろ床法</v>
          </cell>
          <cell r="AS1994" t="str">
            <v>4120401001</v>
          </cell>
          <cell r="AT1994" t="str">
            <v/>
          </cell>
          <cell r="AU1994" t="str">
            <v>00</v>
          </cell>
          <cell r="AV1994" t="str">
            <v>00</v>
          </cell>
          <cell r="AW1994">
            <v>0</v>
          </cell>
          <cell r="AX1994">
            <v>0</v>
          </cell>
          <cell r="AY1994">
            <v>0</v>
          </cell>
          <cell r="AZ1994">
            <v>0</v>
          </cell>
          <cell r="BA1994">
            <v>0</v>
          </cell>
          <cell r="BD1994" t="str">
            <v/>
          </cell>
          <cell r="BE1994">
            <v>1</v>
          </cell>
          <cell r="BG1994" t="str">
            <v>1000</v>
          </cell>
        </row>
        <row r="1995">
          <cell r="B1995" t="str">
            <v>G412050106100100</v>
          </cell>
          <cell r="C1995" t="str">
            <v>41.佐賀県</v>
          </cell>
          <cell r="D1995" t="str">
            <v>205</v>
          </cell>
          <cell r="E1995" t="str">
            <v>伊万里市</v>
          </cell>
          <cell r="F1995" t="str">
            <v>01</v>
          </cell>
          <cell r="G1995" t="str">
            <v>公共 単独</v>
          </cell>
          <cell r="H1995" t="str">
            <v>公共下水道</v>
          </cell>
          <cell r="I1995" t="str">
            <v>単独</v>
          </cell>
          <cell r="J1995" t="str">
            <v>001</v>
          </cell>
          <cell r="K1995" t="str">
            <v>伊万里市浄化センター</v>
          </cell>
          <cell r="M1995" t="str">
            <v>1</v>
          </cell>
          <cell r="N1995" t="str">
            <v>1</v>
          </cell>
          <cell r="Q1995">
            <v>32203</v>
          </cell>
          <cell r="R1995" t="str">
            <v>昭和</v>
          </cell>
          <cell r="S1995">
            <v>63</v>
          </cell>
          <cell r="T1995">
            <v>3</v>
          </cell>
          <cell r="AB1995">
            <v>46000</v>
          </cell>
          <cell r="AC1995" t="str">
            <v>伊万里湾</v>
          </cell>
          <cell r="AD1995" t="str">
            <v>Ｂ</v>
          </cell>
          <cell r="AE1995" t="str">
            <v>イ</v>
          </cell>
          <cell r="AF1995">
            <v>15</v>
          </cell>
          <cell r="AI1995" t="str">
            <v>伊万里湾</v>
          </cell>
          <cell r="AL1995" t="str">
            <v>有田川浄水場</v>
          </cell>
          <cell r="AM1995">
            <v>2.2000000000000002</v>
          </cell>
          <cell r="AO1995" t="str">
            <v>伊万里市</v>
          </cell>
          <cell r="AQ1995" t="str">
            <v/>
          </cell>
          <cell r="AR1995" t="str">
            <v>標準活性汚泥法</v>
          </cell>
          <cell r="AS1995" t="str">
            <v>4120501001</v>
          </cell>
          <cell r="AT1995" t="str">
            <v/>
          </cell>
          <cell r="AU1995" t="str">
            <v>10</v>
          </cell>
          <cell r="AV1995" t="str">
            <v>10</v>
          </cell>
          <cell r="AW1995">
            <v>0</v>
          </cell>
          <cell r="AX1995">
            <v>0</v>
          </cell>
          <cell r="AY1995">
            <v>0</v>
          </cell>
          <cell r="AZ1995">
            <v>0</v>
          </cell>
          <cell r="BA1995">
            <v>0</v>
          </cell>
          <cell r="BD1995" t="str">
            <v/>
          </cell>
          <cell r="BE1995">
            <v>1</v>
          </cell>
          <cell r="BG1995" t="str">
            <v>1100</v>
          </cell>
        </row>
        <row r="1996">
          <cell r="B1996" t="str">
            <v>G412060106100100</v>
          </cell>
          <cell r="C1996" t="str">
            <v>41.佐賀県</v>
          </cell>
          <cell r="D1996" t="str">
            <v>206</v>
          </cell>
          <cell r="E1996" t="str">
            <v>武雄市</v>
          </cell>
          <cell r="F1996" t="str">
            <v>01</v>
          </cell>
          <cell r="G1996" t="str">
            <v>公共 単独</v>
          </cell>
          <cell r="H1996" t="str">
            <v>公共下水道</v>
          </cell>
          <cell r="I1996" t="str">
            <v>単独</v>
          </cell>
          <cell r="J1996" t="str">
            <v>001</v>
          </cell>
          <cell r="K1996" t="str">
            <v>武雄浄化センター</v>
          </cell>
          <cell r="M1996" t="str">
            <v>1</v>
          </cell>
          <cell r="N1996" t="str">
            <v>1</v>
          </cell>
          <cell r="Q1996">
            <v>39417</v>
          </cell>
          <cell r="R1996" t="str">
            <v>平成</v>
          </cell>
          <cell r="S1996">
            <v>19</v>
          </cell>
          <cell r="T1996">
            <v>12</v>
          </cell>
          <cell r="AB1996">
            <v>17000</v>
          </cell>
          <cell r="AC1996" t="str">
            <v>六角川中流</v>
          </cell>
          <cell r="AD1996" t="str">
            <v>Ｄ</v>
          </cell>
          <cell r="AE1996" t="str">
            <v>ロ</v>
          </cell>
          <cell r="AF1996">
            <v>15</v>
          </cell>
          <cell r="AI1996" t="str">
            <v>六角川水系</v>
          </cell>
          <cell r="AK1996" t="str">
            <v>武雄川</v>
          </cell>
          <cell r="AQ1996" t="str">
            <v/>
          </cell>
          <cell r="AR1996" t="str">
            <v>オキシディションディッチ法</v>
          </cell>
          <cell r="AS1996" t="str">
            <v>4120601001</v>
          </cell>
          <cell r="AT1996" t="str">
            <v/>
          </cell>
          <cell r="AU1996" t="str">
            <v>10</v>
          </cell>
          <cell r="AV1996" t="str">
            <v>10</v>
          </cell>
          <cell r="AW1996">
            <v>0</v>
          </cell>
          <cell r="AX1996">
            <v>0</v>
          </cell>
          <cell r="AY1996">
            <v>0</v>
          </cell>
          <cell r="AZ1996">
            <v>0</v>
          </cell>
          <cell r="BA1996">
            <v>0</v>
          </cell>
          <cell r="BD1996" t="str">
            <v/>
          </cell>
          <cell r="BE1996">
            <v>1</v>
          </cell>
          <cell r="BG1996" t="str">
            <v>1100</v>
          </cell>
        </row>
        <row r="1997">
          <cell r="B1997" t="str">
            <v>G412070106100100</v>
          </cell>
          <cell r="C1997" t="str">
            <v>41.佐賀県</v>
          </cell>
          <cell r="D1997" t="str">
            <v>207</v>
          </cell>
          <cell r="E1997" t="str">
            <v>鹿島市</v>
          </cell>
          <cell r="F1997" t="str">
            <v>01</v>
          </cell>
          <cell r="G1997" t="str">
            <v>公共 単独</v>
          </cell>
          <cell r="H1997" t="str">
            <v>公共下水道</v>
          </cell>
          <cell r="I1997" t="str">
            <v>単独</v>
          </cell>
          <cell r="J1997" t="str">
            <v>001</v>
          </cell>
          <cell r="K1997" t="str">
            <v>鹿島市浄化センター</v>
          </cell>
          <cell r="M1997" t="str">
            <v>1</v>
          </cell>
          <cell r="N1997" t="str">
            <v>1</v>
          </cell>
          <cell r="Q1997">
            <v>34608</v>
          </cell>
          <cell r="R1997" t="str">
            <v>平成</v>
          </cell>
          <cell r="S1997">
            <v>6</v>
          </cell>
          <cell r="T1997">
            <v>10</v>
          </cell>
          <cell r="AB1997">
            <v>32292</v>
          </cell>
          <cell r="AC1997" t="str">
            <v>有明海</v>
          </cell>
          <cell r="AD1997" t="str">
            <v>Ｂ</v>
          </cell>
          <cell r="AE1997" t="str">
            <v>イ</v>
          </cell>
          <cell r="AF1997">
            <v>15</v>
          </cell>
          <cell r="AI1997" t="str">
            <v>有明海</v>
          </cell>
          <cell r="AQ1997" t="str">
            <v/>
          </cell>
          <cell r="AR1997" t="str">
            <v>標準活性汚泥法</v>
          </cell>
          <cell r="AS1997" t="str">
            <v>4120701001</v>
          </cell>
          <cell r="AT1997" t="str">
            <v/>
          </cell>
          <cell r="AU1997" t="str">
            <v>10</v>
          </cell>
          <cell r="AV1997" t="str">
            <v>10</v>
          </cell>
          <cell r="AW1997">
            <v>0</v>
          </cell>
          <cell r="AX1997">
            <v>0</v>
          </cell>
          <cell r="AY1997">
            <v>0</v>
          </cell>
          <cell r="AZ1997">
            <v>0</v>
          </cell>
          <cell r="BA1997">
            <v>0</v>
          </cell>
          <cell r="BD1997" t="str">
            <v/>
          </cell>
          <cell r="BE1997">
            <v>1</v>
          </cell>
          <cell r="BG1997" t="str">
            <v>1100</v>
          </cell>
        </row>
        <row r="1998">
          <cell r="B1998" t="str">
            <v>G412080106100100</v>
          </cell>
          <cell r="C1998" t="str">
            <v>41.佐賀県</v>
          </cell>
          <cell r="D1998" t="str">
            <v>208</v>
          </cell>
          <cell r="E1998" t="str">
            <v>小城市</v>
          </cell>
          <cell r="F1998" t="str">
            <v>01</v>
          </cell>
          <cell r="G1998" t="str">
            <v>公共 単独</v>
          </cell>
          <cell r="H1998" t="str">
            <v>公共下水道</v>
          </cell>
          <cell r="I1998" t="str">
            <v>単独</v>
          </cell>
          <cell r="J1998" t="str">
            <v>001</v>
          </cell>
          <cell r="K1998" t="str">
            <v>牛津浄化センター</v>
          </cell>
          <cell r="M1998" t="str">
            <v>1</v>
          </cell>
          <cell r="N1998" t="str">
            <v>1</v>
          </cell>
          <cell r="Q1998">
            <v>37681</v>
          </cell>
          <cell r="R1998" t="str">
            <v>平成</v>
          </cell>
          <cell r="S1998">
            <v>15</v>
          </cell>
          <cell r="T1998">
            <v>3</v>
          </cell>
          <cell r="AB1998">
            <v>13761</v>
          </cell>
          <cell r="AC1998" t="str">
            <v>牛津川</v>
          </cell>
          <cell r="AD1998" t="str">
            <v>Ｄ</v>
          </cell>
          <cell r="AE1998" t="str">
            <v>ロ</v>
          </cell>
          <cell r="AF1998">
            <v>15</v>
          </cell>
          <cell r="AK1998" t="str">
            <v>牛津川</v>
          </cell>
          <cell r="AQ1998" t="str">
            <v/>
          </cell>
          <cell r="AR1998" t="str">
            <v>嫌気好気ろ床法</v>
          </cell>
          <cell r="AS1998" t="str">
            <v>4120801001</v>
          </cell>
          <cell r="AT1998" t="str">
            <v/>
          </cell>
          <cell r="AU1998" t="str">
            <v>10</v>
          </cell>
          <cell r="AV1998" t="str">
            <v>10</v>
          </cell>
          <cell r="AW1998">
            <v>0</v>
          </cell>
          <cell r="AX1998">
            <v>0</v>
          </cell>
          <cell r="AY1998">
            <v>0</v>
          </cell>
          <cell r="AZ1998">
            <v>0</v>
          </cell>
          <cell r="BA1998">
            <v>0</v>
          </cell>
          <cell r="BD1998" t="str">
            <v/>
          </cell>
          <cell r="BE1998">
            <v>1</v>
          </cell>
          <cell r="BG1998" t="str">
            <v>1100</v>
          </cell>
        </row>
        <row r="1999">
          <cell r="B1999" t="str">
            <v>G412080206100200</v>
          </cell>
          <cell r="C1999" t="str">
            <v>41.佐賀県</v>
          </cell>
          <cell r="D1999" t="str">
            <v>208</v>
          </cell>
          <cell r="E1999" t="str">
            <v>小城市</v>
          </cell>
          <cell r="F1999" t="str">
            <v>02</v>
          </cell>
          <cell r="G1999" t="str">
            <v>特環 単独</v>
          </cell>
          <cell r="H1999" t="str">
            <v>特定環境保全公共下水道</v>
          </cell>
          <cell r="I1999" t="str">
            <v>単独</v>
          </cell>
          <cell r="J1999" t="str">
            <v>002</v>
          </cell>
          <cell r="K1999" t="str">
            <v>清水浄化センター</v>
          </cell>
          <cell r="M1999" t="str">
            <v>1</v>
          </cell>
          <cell r="N1999" t="str">
            <v>1</v>
          </cell>
          <cell r="Q1999">
            <v>36192</v>
          </cell>
          <cell r="R1999" t="str">
            <v>平成</v>
          </cell>
          <cell r="S1999">
            <v>11</v>
          </cell>
          <cell r="T1999">
            <v>2</v>
          </cell>
          <cell r="AB1999">
            <v>2184</v>
          </cell>
          <cell r="AC1999" t="str">
            <v>祇園川の全域</v>
          </cell>
          <cell r="AD1999" t="str">
            <v>Ａ</v>
          </cell>
          <cell r="AE1999" t="str">
            <v>イ</v>
          </cell>
          <cell r="AF1999">
            <v>15</v>
          </cell>
          <cell r="AI1999" t="str">
            <v>清水川</v>
          </cell>
          <cell r="AJ1999" t="str">
            <v>祇園川</v>
          </cell>
          <cell r="AK1999" t="str">
            <v>嘉瀬川</v>
          </cell>
          <cell r="AL1999" t="str">
            <v>久保田取水堰</v>
          </cell>
          <cell r="AN1999">
            <v>8</v>
          </cell>
          <cell r="AO1999" t="str">
            <v>西佐賀水道企業団</v>
          </cell>
          <cell r="AQ1999" t="str">
            <v/>
          </cell>
          <cell r="AR1999" t="str">
            <v>オキシディションディッチ法</v>
          </cell>
          <cell r="AS1999" t="str">
            <v>4120802002</v>
          </cell>
          <cell r="AT1999" t="str">
            <v/>
          </cell>
          <cell r="AU1999" t="str">
            <v>10</v>
          </cell>
          <cell r="AV1999" t="str">
            <v>10</v>
          </cell>
          <cell r="AW1999">
            <v>0</v>
          </cell>
          <cell r="AX1999">
            <v>0</v>
          </cell>
          <cell r="AY1999">
            <v>0</v>
          </cell>
          <cell r="AZ1999">
            <v>0</v>
          </cell>
          <cell r="BA1999">
            <v>0</v>
          </cell>
          <cell r="BD1999" t="str">
            <v/>
          </cell>
          <cell r="BE1999">
            <v>1</v>
          </cell>
          <cell r="BG1999" t="str">
            <v>1100</v>
          </cell>
        </row>
        <row r="2000">
          <cell r="B2000" t="str">
            <v>G412080206100300</v>
          </cell>
          <cell r="C2000" t="str">
            <v>41.佐賀県</v>
          </cell>
          <cell r="D2000" t="str">
            <v>208</v>
          </cell>
          <cell r="E2000" t="str">
            <v>小城市</v>
          </cell>
          <cell r="F2000" t="str">
            <v>02</v>
          </cell>
          <cell r="G2000" t="str">
            <v>特環 単独</v>
          </cell>
          <cell r="H2000" t="str">
            <v>特定環境保全公共下水道</v>
          </cell>
          <cell r="I2000" t="str">
            <v>単独</v>
          </cell>
          <cell r="J2000" t="str">
            <v>003</v>
          </cell>
          <cell r="K2000" t="str">
            <v>三日月浄化センター</v>
          </cell>
          <cell r="M2000" t="str">
            <v>1</v>
          </cell>
          <cell r="N2000" t="str">
            <v>1</v>
          </cell>
          <cell r="Q2000">
            <v>39142</v>
          </cell>
          <cell r="R2000" t="str">
            <v>平成</v>
          </cell>
          <cell r="S2000">
            <v>19</v>
          </cell>
          <cell r="T2000">
            <v>3</v>
          </cell>
          <cell r="AB2000">
            <v>16670</v>
          </cell>
          <cell r="AC2000" t="str">
            <v>福所江</v>
          </cell>
          <cell r="AD2000" t="str">
            <v>Ｅ</v>
          </cell>
          <cell r="AE2000" t="str">
            <v>ハ</v>
          </cell>
          <cell r="AF2000">
            <v>15</v>
          </cell>
          <cell r="AJ2000" t="str">
            <v>福所江</v>
          </cell>
          <cell r="AQ2000" t="str">
            <v/>
          </cell>
          <cell r="AR2000" t="str">
            <v>嫌気好気ろ床法</v>
          </cell>
          <cell r="AS2000" t="str">
            <v>4120802003</v>
          </cell>
          <cell r="AT2000" t="str">
            <v/>
          </cell>
          <cell r="AU2000" t="str">
            <v>10</v>
          </cell>
          <cell r="AV2000" t="str">
            <v>10</v>
          </cell>
          <cell r="AW2000">
            <v>0</v>
          </cell>
          <cell r="AX2000">
            <v>0</v>
          </cell>
          <cell r="AY2000">
            <v>0</v>
          </cell>
          <cell r="AZ2000">
            <v>0</v>
          </cell>
          <cell r="BA2000">
            <v>0</v>
          </cell>
          <cell r="BD2000" t="str">
            <v/>
          </cell>
          <cell r="BE2000">
            <v>1</v>
          </cell>
          <cell r="BG2000" t="str">
            <v>1100</v>
          </cell>
        </row>
        <row r="2001">
          <cell r="B2001" t="str">
            <v>G412080206100400</v>
          </cell>
          <cell r="C2001" t="str">
            <v>41.佐賀県</v>
          </cell>
          <cell r="D2001" t="str">
            <v>208</v>
          </cell>
          <cell r="E2001" t="str">
            <v>小城市</v>
          </cell>
          <cell r="F2001" t="str">
            <v>02</v>
          </cell>
          <cell r="G2001" t="str">
            <v>特環 単独</v>
          </cell>
          <cell r="H2001" t="str">
            <v>特定環境保全公共下水道</v>
          </cell>
          <cell r="I2001" t="str">
            <v>単独</v>
          </cell>
          <cell r="J2001" t="str">
            <v>004</v>
          </cell>
          <cell r="K2001" t="str">
            <v>芦刈浄化センター</v>
          </cell>
          <cell r="M2001" t="str">
            <v>1</v>
          </cell>
          <cell r="N2001" t="str">
            <v>1</v>
          </cell>
          <cell r="Q2001">
            <v>40238</v>
          </cell>
          <cell r="R2001" t="str">
            <v>平成</v>
          </cell>
          <cell r="S2001">
            <v>22</v>
          </cell>
          <cell r="T2001">
            <v>3</v>
          </cell>
          <cell r="AB2001">
            <v>11184</v>
          </cell>
          <cell r="AC2001" t="str">
            <v>六角川下流</v>
          </cell>
          <cell r="AD2001" t="str">
            <v>Ｅ</v>
          </cell>
          <cell r="AE2001" t="str">
            <v>イ</v>
          </cell>
          <cell r="AF2001">
            <v>15</v>
          </cell>
          <cell r="AI2001" t="str">
            <v>弁財川</v>
          </cell>
          <cell r="AK2001" t="str">
            <v>牛津川</v>
          </cell>
          <cell r="AQ2001" t="str">
            <v/>
          </cell>
          <cell r="AR2001" t="str">
            <v>オキシディションディッチ法</v>
          </cell>
          <cell r="AS2001" t="str">
            <v>4120802004</v>
          </cell>
          <cell r="AT2001" t="str">
            <v/>
          </cell>
          <cell r="AU2001" t="str">
            <v>10</v>
          </cell>
          <cell r="AV2001" t="str">
            <v>10</v>
          </cell>
          <cell r="AW2001">
            <v>0</v>
          </cell>
          <cell r="AX2001">
            <v>0</v>
          </cell>
          <cell r="AY2001">
            <v>0</v>
          </cell>
          <cell r="AZ2001">
            <v>0</v>
          </cell>
          <cell r="BA2001">
            <v>0</v>
          </cell>
          <cell r="BD2001" t="str">
            <v/>
          </cell>
          <cell r="BE2001">
            <v>1</v>
          </cell>
          <cell r="BG2001" t="str">
            <v>1100</v>
          </cell>
        </row>
        <row r="2002">
          <cell r="B2002" t="str">
            <v>G412090106100100</v>
          </cell>
          <cell r="C2002" t="str">
            <v>41.佐賀県</v>
          </cell>
          <cell r="D2002" t="str">
            <v>209</v>
          </cell>
          <cell r="E2002" t="str">
            <v>嬉野市</v>
          </cell>
          <cell r="F2002" t="str">
            <v>01</v>
          </cell>
          <cell r="G2002" t="str">
            <v>公共 単独</v>
          </cell>
          <cell r="H2002" t="str">
            <v>公共下水道</v>
          </cell>
          <cell r="I2002" t="str">
            <v>単独</v>
          </cell>
          <cell r="J2002" t="str">
            <v>001</v>
          </cell>
          <cell r="K2002" t="str">
            <v>嬉野浄化センター</v>
          </cell>
          <cell r="M2002" t="str">
            <v>1</v>
          </cell>
          <cell r="N2002" t="str">
            <v>1</v>
          </cell>
          <cell r="Q2002">
            <v>38777</v>
          </cell>
          <cell r="R2002" t="str">
            <v>平成</v>
          </cell>
          <cell r="S2002">
            <v>18</v>
          </cell>
          <cell r="T2002">
            <v>3</v>
          </cell>
          <cell r="AB2002">
            <v>27000</v>
          </cell>
          <cell r="AC2002" t="str">
            <v>塩田川</v>
          </cell>
          <cell r="AD2002" t="str">
            <v>Ｂ</v>
          </cell>
          <cell r="AE2002" t="str">
            <v>イ</v>
          </cell>
          <cell r="AF2002">
            <v>15</v>
          </cell>
          <cell r="AJ2002" t="str">
            <v>塩田川</v>
          </cell>
          <cell r="AQ2002" t="str">
            <v/>
          </cell>
          <cell r="AR2002" t="str">
            <v>オキシディションディッチ法</v>
          </cell>
          <cell r="AS2002" t="str">
            <v>4120901001</v>
          </cell>
          <cell r="AT2002" t="str">
            <v/>
          </cell>
          <cell r="AU2002" t="str">
            <v>10</v>
          </cell>
          <cell r="AV2002" t="str">
            <v>10</v>
          </cell>
          <cell r="AW2002">
            <v>0</v>
          </cell>
          <cell r="AX2002">
            <v>0</v>
          </cell>
          <cell r="AY2002">
            <v>0</v>
          </cell>
          <cell r="AZ2002">
            <v>0</v>
          </cell>
          <cell r="BA2002">
            <v>0</v>
          </cell>
          <cell r="BD2002" t="str">
            <v/>
          </cell>
          <cell r="BE2002">
            <v>1</v>
          </cell>
          <cell r="BG2002" t="str">
            <v>1100</v>
          </cell>
        </row>
        <row r="2003">
          <cell r="B2003" t="str">
            <v>G412100106100100</v>
          </cell>
          <cell r="C2003" t="str">
            <v>41.佐賀県</v>
          </cell>
          <cell r="D2003" t="str">
            <v>210</v>
          </cell>
          <cell r="E2003" t="str">
            <v>神埼市</v>
          </cell>
          <cell r="F2003" t="str">
            <v>01</v>
          </cell>
          <cell r="G2003" t="str">
            <v>公共 単独</v>
          </cell>
          <cell r="H2003" t="str">
            <v>公共下水道</v>
          </cell>
          <cell r="I2003" t="str">
            <v>単独</v>
          </cell>
          <cell r="J2003" t="str">
            <v>001</v>
          </cell>
          <cell r="K2003" t="str">
            <v>神埼浄化センター</v>
          </cell>
          <cell r="M2003" t="str">
            <v>1</v>
          </cell>
          <cell r="N2003" t="str">
            <v>1</v>
          </cell>
          <cell r="Q2003">
            <v>38078</v>
          </cell>
          <cell r="R2003" t="str">
            <v>平成</v>
          </cell>
          <cell r="S2003">
            <v>16</v>
          </cell>
          <cell r="T2003">
            <v>4</v>
          </cell>
          <cell r="AB2003">
            <v>22000</v>
          </cell>
          <cell r="AC2003" t="str">
            <v>田手川下流</v>
          </cell>
          <cell r="AD2003" t="str">
            <v>Ｂ</v>
          </cell>
          <cell r="AE2003" t="str">
            <v>イ</v>
          </cell>
          <cell r="AK2003" t="str">
            <v>馬場川</v>
          </cell>
          <cell r="AQ2003" t="str">
            <v/>
          </cell>
          <cell r="AR2003" t="str">
            <v>オキシディションディッチ法</v>
          </cell>
          <cell r="AS2003" t="str">
            <v>4121001001</v>
          </cell>
          <cell r="AT2003" t="str">
            <v/>
          </cell>
          <cell r="AU2003" t="str">
            <v>10</v>
          </cell>
          <cell r="AV2003" t="str">
            <v>10</v>
          </cell>
          <cell r="AW2003">
            <v>0</v>
          </cell>
          <cell r="AX2003">
            <v>0</v>
          </cell>
          <cell r="AY2003">
            <v>0</v>
          </cell>
          <cell r="AZ2003">
            <v>0</v>
          </cell>
          <cell r="BA2003">
            <v>0</v>
          </cell>
          <cell r="BD2003" t="str">
            <v/>
          </cell>
          <cell r="BE2003">
            <v>1</v>
          </cell>
          <cell r="BG2003" t="str">
            <v>1100</v>
          </cell>
        </row>
        <row r="2004">
          <cell r="B2004" t="str">
            <v>G413270106100100</v>
          </cell>
          <cell r="C2004" t="str">
            <v>41.佐賀県</v>
          </cell>
          <cell r="D2004" t="str">
            <v>327</v>
          </cell>
          <cell r="E2004" t="str">
            <v>吉野ヶ里町</v>
          </cell>
          <cell r="F2004" t="str">
            <v>01</v>
          </cell>
          <cell r="G2004" t="str">
            <v>公共 単独</v>
          </cell>
          <cell r="H2004" t="str">
            <v>公共下水道</v>
          </cell>
          <cell r="I2004" t="str">
            <v>単独</v>
          </cell>
          <cell r="J2004" t="str">
            <v>001</v>
          </cell>
          <cell r="K2004" t="str">
            <v>吉野ケ里町浄化センター</v>
          </cell>
          <cell r="M2004" t="str">
            <v>1</v>
          </cell>
          <cell r="N2004" t="str">
            <v>1</v>
          </cell>
          <cell r="Q2004">
            <v>36251</v>
          </cell>
          <cell r="R2004" t="str">
            <v>平成</v>
          </cell>
          <cell r="S2004">
            <v>11</v>
          </cell>
          <cell r="T2004">
            <v>4</v>
          </cell>
          <cell r="AB2004">
            <v>32300</v>
          </cell>
          <cell r="AC2004" t="str">
            <v>井柳川</v>
          </cell>
          <cell r="AD2004" t="str">
            <v>Ｃ</v>
          </cell>
          <cell r="AE2004" t="str">
            <v>イ</v>
          </cell>
          <cell r="AK2004" t="str">
            <v>井柳川</v>
          </cell>
          <cell r="AQ2004" t="str">
            <v/>
          </cell>
          <cell r="AR2004" t="str">
            <v>オキシディションディッチ法</v>
          </cell>
          <cell r="AS2004" t="str">
            <v>4132701001</v>
          </cell>
          <cell r="AT2004" t="str">
            <v/>
          </cell>
          <cell r="AU2004" t="str">
            <v>10</v>
          </cell>
          <cell r="AV2004" t="str">
            <v>10</v>
          </cell>
          <cell r="AW2004">
            <v>0</v>
          </cell>
          <cell r="AX2004">
            <v>0</v>
          </cell>
          <cell r="AY2004">
            <v>0</v>
          </cell>
          <cell r="AZ2004">
            <v>0</v>
          </cell>
          <cell r="BA2004">
            <v>0</v>
          </cell>
          <cell r="BD2004" t="str">
            <v/>
          </cell>
          <cell r="BE2004">
            <v>1</v>
          </cell>
          <cell r="BG2004" t="str">
            <v>1100</v>
          </cell>
        </row>
        <row r="2005">
          <cell r="B2005" t="str">
            <v>G413411106100100</v>
          </cell>
          <cell r="C2005" t="str">
            <v>41.佐賀県</v>
          </cell>
          <cell r="D2005" t="str">
            <v>341</v>
          </cell>
          <cell r="E2005" t="str">
            <v>基山町</v>
          </cell>
          <cell r="F2005" t="str">
            <v>11</v>
          </cell>
          <cell r="G2005" t="str">
            <v>公共 流域関連</v>
          </cell>
          <cell r="H2005" t="str">
            <v>公共下水道</v>
          </cell>
          <cell r="I2005" t="str">
            <v>流域関連</v>
          </cell>
          <cell r="J2005" t="str">
            <v>001</v>
          </cell>
          <cell r="K2005" t="str">
            <v>けやき台処理場</v>
          </cell>
          <cell r="M2005" t="str">
            <v>1</v>
          </cell>
          <cell r="N2005" t="str">
            <v>1</v>
          </cell>
          <cell r="Q2005">
            <v>36951</v>
          </cell>
          <cell r="R2005" t="str">
            <v>平成</v>
          </cell>
          <cell r="S2005">
            <v>13</v>
          </cell>
          <cell r="T2005">
            <v>3</v>
          </cell>
          <cell r="AB2005">
            <v>2500</v>
          </cell>
          <cell r="AF2005">
            <v>15</v>
          </cell>
          <cell r="AK2005" t="str">
            <v>関屋川</v>
          </cell>
          <cell r="AQ2005" t="str">
            <v/>
          </cell>
          <cell r="AR2005" t="str">
            <v>標準活性汚泥法</v>
          </cell>
          <cell r="AS2005" t="str">
            <v>4134111001</v>
          </cell>
          <cell r="AT2005" t="str">
            <v/>
          </cell>
          <cell r="AU2005" t="str">
            <v>10</v>
          </cell>
          <cell r="AV2005" t="str">
            <v>10</v>
          </cell>
          <cell r="AW2005">
            <v>0</v>
          </cell>
          <cell r="AX2005">
            <v>0</v>
          </cell>
          <cell r="AY2005">
            <v>0</v>
          </cell>
          <cell r="AZ2005">
            <v>0</v>
          </cell>
          <cell r="BA2005">
            <v>0</v>
          </cell>
          <cell r="BD2005" t="str">
            <v/>
          </cell>
          <cell r="BE2005">
            <v>1</v>
          </cell>
          <cell r="BG2005" t="str">
            <v>1100</v>
          </cell>
        </row>
        <row r="2006">
          <cell r="B2006" t="str">
            <v>G413460106100100</v>
          </cell>
          <cell r="C2006" t="str">
            <v>41.佐賀県</v>
          </cell>
          <cell r="D2006" t="str">
            <v>346</v>
          </cell>
          <cell r="E2006" t="str">
            <v>みやき町</v>
          </cell>
          <cell r="F2006" t="str">
            <v>01</v>
          </cell>
          <cell r="G2006" t="str">
            <v>公共 単独</v>
          </cell>
          <cell r="H2006" t="str">
            <v>公共下水道</v>
          </cell>
          <cell r="I2006" t="str">
            <v>単独</v>
          </cell>
          <cell r="J2006" t="str">
            <v>001</v>
          </cell>
          <cell r="K2006" t="str">
            <v>みやき町浄化センター</v>
          </cell>
          <cell r="M2006" t="str">
            <v>1</v>
          </cell>
          <cell r="Q2006">
            <v>38869</v>
          </cell>
          <cell r="R2006" t="str">
            <v>平成</v>
          </cell>
          <cell r="S2006">
            <v>18</v>
          </cell>
          <cell r="T2006">
            <v>6</v>
          </cell>
          <cell r="AB2006">
            <v>20700</v>
          </cell>
          <cell r="AC2006" t="str">
            <v>筑後川下流(六五郎橋)</v>
          </cell>
          <cell r="AD2006" t="str">
            <v>Ｂ</v>
          </cell>
          <cell r="AE2006" t="str">
            <v>ロ</v>
          </cell>
          <cell r="AF2006">
            <v>15</v>
          </cell>
          <cell r="AI2006" t="str">
            <v>江口川</v>
          </cell>
          <cell r="AK2006" t="str">
            <v>筑後川</v>
          </cell>
          <cell r="AL2006" t="str">
            <v>筑後川</v>
          </cell>
          <cell r="AM2006">
            <v>2.5</v>
          </cell>
          <cell r="AO2006" t="str">
            <v>みやき町、上峰町、基山町、佐賀市、神埼市、吉野ヶ里町</v>
          </cell>
          <cell r="AQ2006" t="str">
            <v/>
          </cell>
          <cell r="AR2006" t="str">
            <v>嫌気好気ろ床法</v>
          </cell>
          <cell r="AS2006" t="str">
            <v>4134601001</v>
          </cell>
          <cell r="AT2006" t="str">
            <v/>
          </cell>
          <cell r="AU2006" t="str">
            <v>00</v>
          </cell>
          <cell r="AV2006" t="str">
            <v>00</v>
          </cell>
          <cell r="AW2006">
            <v>0</v>
          </cell>
          <cell r="AX2006">
            <v>0</v>
          </cell>
          <cell r="AY2006">
            <v>0</v>
          </cell>
          <cell r="AZ2006">
            <v>0</v>
          </cell>
          <cell r="BA2006">
            <v>0</v>
          </cell>
          <cell r="BD2006" t="str">
            <v/>
          </cell>
          <cell r="BE2006">
            <v>1</v>
          </cell>
          <cell r="BG2006" t="str">
            <v>1000</v>
          </cell>
        </row>
        <row r="2007">
          <cell r="B2007" t="str">
            <v>G413870206100100</v>
          </cell>
          <cell r="C2007" t="str">
            <v>41.佐賀県</v>
          </cell>
          <cell r="D2007" t="str">
            <v>387</v>
          </cell>
          <cell r="E2007" t="str">
            <v>玄海町</v>
          </cell>
          <cell r="F2007" t="str">
            <v>02</v>
          </cell>
          <cell r="G2007" t="str">
            <v>特環 単独</v>
          </cell>
          <cell r="H2007" t="str">
            <v>特定環境保全公共下水道</v>
          </cell>
          <cell r="I2007" t="str">
            <v>単独</v>
          </cell>
          <cell r="J2007" t="str">
            <v>001</v>
          </cell>
          <cell r="K2007" t="str">
            <v>南部浄化センター</v>
          </cell>
          <cell r="M2007" t="str">
            <v>1</v>
          </cell>
          <cell r="Q2007">
            <v>38991</v>
          </cell>
          <cell r="R2007" t="str">
            <v>平成</v>
          </cell>
          <cell r="S2007">
            <v>18</v>
          </cell>
          <cell r="T2007">
            <v>10</v>
          </cell>
          <cell r="AB2007">
            <v>4232</v>
          </cell>
          <cell r="AC2007" t="str">
            <v>仮屋湾海域</v>
          </cell>
          <cell r="AD2007" t="str">
            <v>Ａ</v>
          </cell>
          <cell r="AE2007" t="str">
            <v>イ</v>
          </cell>
          <cell r="AF2007">
            <v>15</v>
          </cell>
          <cell r="AI2007" t="str">
            <v>仮屋湾海域</v>
          </cell>
          <cell r="AL2007" t="str">
            <v>有浦取水場</v>
          </cell>
          <cell r="AM2007">
            <v>2.2000000000000002</v>
          </cell>
          <cell r="AO2007" t="str">
            <v>玄海町</v>
          </cell>
          <cell r="AQ2007" t="str">
            <v/>
          </cell>
          <cell r="AR2007" t="str">
            <v>嫌気好気ろ床法</v>
          </cell>
          <cell r="AS2007" t="str">
            <v>4138702001</v>
          </cell>
          <cell r="AT2007" t="str">
            <v/>
          </cell>
          <cell r="AU2007" t="str">
            <v>00</v>
          </cell>
          <cell r="AV2007" t="str">
            <v>00</v>
          </cell>
          <cell r="AW2007">
            <v>0</v>
          </cell>
          <cell r="AX2007">
            <v>0</v>
          </cell>
          <cell r="AY2007">
            <v>0</v>
          </cell>
          <cell r="AZ2007">
            <v>0</v>
          </cell>
          <cell r="BA2007">
            <v>0</v>
          </cell>
          <cell r="BD2007" t="str">
            <v/>
          </cell>
          <cell r="BE2007">
            <v>1</v>
          </cell>
          <cell r="BG2007" t="str">
            <v>1000</v>
          </cell>
        </row>
        <row r="2008">
          <cell r="B2008" t="str">
            <v>G413870206100200</v>
          </cell>
          <cell r="C2008" t="str">
            <v>41.佐賀県</v>
          </cell>
          <cell r="D2008" t="str">
            <v>387</v>
          </cell>
          <cell r="E2008" t="str">
            <v>玄海町</v>
          </cell>
          <cell r="F2008" t="str">
            <v>02</v>
          </cell>
          <cell r="G2008" t="str">
            <v>特環 単独</v>
          </cell>
          <cell r="H2008" t="str">
            <v>特定環境保全公共下水道</v>
          </cell>
          <cell r="I2008" t="str">
            <v>単独</v>
          </cell>
          <cell r="J2008" t="str">
            <v>002</v>
          </cell>
          <cell r="K2008" t="str">
            <v>北部浄化センター</v>
          </cell>
          <cell r="M2008" t="str">
            <v>1</v>
          </cell>
          <cell r="Q2008">
            <v>40452</v>
          </cell>
          <cell r="R2008" t="str">
            <v>平成</v>
          </cell>
          <cell r="S2008">
            <v>22</v>
          </cell>
          <cell r="T2008">
            <v>10</v>
          </cell>
          <cell r="AB2008">
            <v>4071</v>
          </cell>
          <cell r="AC2008" t="str">
            <v>志礼川</v>
          </cell>
          <cell r="AD2008" t="str">
            <v>Ａ</v>
          </cell>
          <cell r="AE2008" t="str">
            <v>イ</v>
          </cell>
          <cell r="AF2008">
            <v>15</v>
          </cell>
          <cell r="AJ2008" t="str">
            <v>志礼川</v>
          </cell>
          <cell r="AM2008">
            <v>0.8</v>
          </cell>
          <cell r="AO2008" t="str">
            <v>玄海町</v>
          </cell>
          <cell r="AQ2008" t="str">
            <v/>
          </cell>
          <cell r="AR2008" t="str">
            <v>嫌気好気ろ床法</v>
          </cell>
          <cell r="AS2008" t="str">
            <v>4138702002</v>
          </cell>
          <cell r="AT2008" t="str">
            <v/>
          </cell>
          <cell r="AU2008" t="str">
            <v>00</v>
          </cell>
          <cell r="AV2008" t="str">
            <v>00</v>
          </cell>
          <cell r="AW2008">
            <v>0</v>
          </cell>
          <cell r="AX2008">
            <v>0</v>
          </cell>
          <cell r="AY2008">
            <v>0</v>
          </cell>
          <cell r="AZ2008">
            <v>0</v>
          </cell>
          <cell r="BA2008">
            <v>0</v>
          </cell>
          <cell r="BD2008" t="str">
            <v/>
          </cell>
          <cell r="BE2008">
            <v>1</v>
          </cell>
          <cell r="BG2008" t="str">
            <v>1000</v>
          </cell>
        </row>
        <row r="2009">
          <cell r="B2009" t="str">
            <v>G414010106100100</v>
          </cell>
          <cell r="C2009" t="str">
            <v>41.佐賀県</v>
          </cell>
          <cell r="D2009" t="str">
            <v>401</v>
          </cell>
          <cell r="E2009" t="str">
            <v>有田町</v>
          </cell>
          <cell r="F2009" t="str">
            <v>01</v>
          </cell>
          <cell r="G2009" t="str">
            <v>公共 単独</v>
          </cell>
          <cell r="H2009" t="str">
            <v>公共下水道</v>
          </cell>
          <cell r="I2009" t="str">
            <v>単独</v>
          </cell>
          <cell r="J2009" t="str">
            <v>001</v>
          </cell>
          <cell r="K2009" t="str">
            <v>有田町水質浄化センター</v>
          </cell>
          <cell r="M2009" t="str">
            <v>1</v>
          </cell>
          <cell r="N2009" t="str">
            <v>1</v>
          </cell>
          <cell r="Q2009">
            <v>37316</v>
          </cell>
          <cell r="R2009" t="str">
            <v>平成</v>
          </cell>
          <cell r="S2009">
            <v>14</v>
          </cell>
          <cell r="T2009">
            <v>3</v>
          </cell>
          <cell r="AB2009">
            <v>22900</v>
          </cell>
          <cell r="AC2009" t="str">
            <v>又川井堰</v>
          </cell>
          <cell r="AJ2009" t="str">
            <v>黒牟田川</v>
          </cell>
          <cell r="AL2009" t="str">
            <v>又川井堰</v>
          </cell>
          <cell r="AN2009">
            <v>10.9</v>
          </cell>
          <cell r="AO2009" t="str">
            <v>伊万里市</v>
          </cell>
          <cell r="AQ2009" t="str">
            <v/>
          </cell>
          <cell r="AR2009" t="str">
            <v>回分式活性汚泥法</v>
          </cell>
          <cell r="AS2009" t="str">
            <v>4140101001</v>
          </cell>
          <cell r="AT2009" t="str">
            <v/>
          </cell>
          <cell r="AU2009" t="str">
            <v>10</v>
          </cell>
          <cell r="AV2009" t="str">
            <v>10</v>
          </cell>
          <cell r="AW2009">
            <v>0</v>
          </cell>
          <cell r="AX2009">
            <v>0</v>
          </cell>
          <cell r="AY2009">
            <v>0</v>
          </cell>
          <cell r="AZ2009">
            <v>0</v>
          </cell>
          <cell r="BA2009">
            <v>0</v>
          </cell>
          <cell r="BD2009" t="str">
            <v/>
          </cell>
          <cell r="BE2009">
            <v>1</v>
          </cell>
          <cell r="BG2009" t="str">
            <v>1100</v>
          </cell>
        </row>
        <row r="2010">
          <cell r="B2010" t="str">
            <v>G414240206100100</v>
          </cell>
          <cell r="C2010" t="str">
            <v>41.佐賀県</v>
          </cell>
          <cell r="D2010" t="str">
            <v>424</v>
          </cell>
          <cell r="E2010" t="str">
            <v>江北町</v>
          </cell>
          <cell r="F2010" t="str">
            <v>02</v>
          </cell>
          <cell r="G2010" t="str">
            <v>特環 単独</v>
          </cell>
          <cell r="H2010" t="str">
            <v>特定環境保全公共下水道</v>
          </cell>
          <cell r="I2010" t="str">
            <v>単独</v>
          </cell>
          <cell r="J2010" t="str">
            <v>001</v>
          </cell>
          <cell r="K2010" t="str">
            <v>江北クリーンセンター</v>
          </cell>
          <cell r="M2010" t="str">
            <v>1</v>
          </cell>
          <cell r="N2010" t="str">
            <v>1</v>
          </cell>
          <cell r="Q2010">
            <v>37681</v>
          </cell>
          <cell r="R2010" t="str">
            <v>平成</v>
          </cell>
          <cell r="S2010">
            <v>15</v>
          </cell>
          <cell r="T2010">
            <v>3</v>
          </cell>
          <cell r="AB2010">
            <v>24064</v>
          </cell>
          <cell r="AC2010" t="str">
            <v>六角川</v>
          </cell>
          <cell r="AD2010" t="str">
            <v>Ｄ</v>
          </cell>
          <cell r="AE2010" t="str">
            <v>ロ</v>
          </cell>
          <cell r="AF2010">
            <v>15</v>
          </cell>
          <cell r="AK2010" t="str">
            <v>六角川</v>
          </cell>
          <cell r="AQ2010" t="str">
            <v/>
          </cell>
          <cell r="AR2010" t="str">
            <v>嫌気好気ろ床法</v>
          </cell>
          <cell r="AS2010" t="str">
            <v>4142402001</v>
          </cell>
          <cell r="AT2010" t="str">
            <v/>
          </cell>
          <cell r="AU2010" t="str">
            <v>10</v>
          </cell>
          <cell r="AV2010" t="str">
            <v>10</v>
          </cell>
          <cell r="AW2010">
            <v>0</v>
          </cell>
          <cell r="AX2010">
            <v>0</v>
          </cell>
          <cell r="AY2010">
            <v>0</v>
          </cell>
          <cell r="AZ2010">
            <v>0</v>
          </cell>
          <cell r="BA2010">
            <v>0</v>
          </cell>
          <cell r="BD2010" t="str">
            <v/>
          </cell>
          <cell r="BE2010">
            <v>1</v>
          </cell>
          <cell r="BG2010" t="str">
            <v>1100</v>
          </cell>
        </row>
        <row r="2011">
          <cell r="B2011" t="str">
            <v>G420018106100100</v>
          </cell>
          <cell r="C2011" t="str">
            <v>42.長崎県</v>
          </cell>
          <cell r="D2011" t="str">
            <v>001</v>
          </cell>
          <cell r="E2011" t="str">
            <v>大村湾南部流域</v>
          </cell>
          <cell r="F2011" t="str">
            <v>81</v>
          </cell>
          <cell r="G2011" t="str">
            <v>流域</v>
          </cell>
          <cell r="H2011" t="str">
            <v>流域下水道</v>
          </cell>
          <cell r="I2011" t="str">
            <v/>
          </cell>
          <cell r="J2011" t="str">
            <v>001</v>
          </cell>
          <cell r="K2011" t="str">
            <v>大村湾南部浄化センター</v>
          </cell>
          <cell r="M2011" t="str">
            <v>1</v>
          </cell>
          <cell r="N2011" t="str">
            <v>1</v>
          </cell>
          <cell r="Q2011">
            <v>36586</v>
          </cell>
          <cell r="R2011" t="str">
            <v>平成</v>
          </cell>
          <cell r="S2011">
            <v>12</v>
          </cell>
          <cell r="T2011">
            <v>3</v>
          </cell>
          <cell r="AB2011">
            <v>49150</v>
          </cell>
          <cell r="AC2011" t="str">
            <v>東大川河口域</v>
          </cell>
          <cell r="AD2011" t="str">
            <v>Ｂ</v>
          </cell>
          <cell r="AE2011" t="str">
            <v>ハ</v>
          </cell>
          <cell r="AF2011">
            <v>11</v>
          </cell>
          <cell r="AJ2011" t="str">
            <v>東大川</v>
          </cell>
          <cell r="AL2011" t="str">
            <v>平山上水道</v>
          </cell>
          <cell r="AM2011">
            <v>13</v>
          </cell>
          <cell r="AO2011" t="str">
            <v>諫早市</v>
          </cell>
          <cell r="AQ2011" t="str">
            <v/>
          </cell>
          <cell r="AR2011" t="str">
            <v>標準活性汚泥法</v>
          </cell>
          <cell r="AS2011" t="str">
            <v>4200181001</v>
          </cell>
          <cell r="AT2011" t="str">
            <v/>
          </cell>
          <cell r="AU2011" t="str">
            <v>10</v>
          </cell>
          <cell r="AV2011" t="str">
            <v>10</v>
          </cell>
          <cell r="AW2011">
            <v>0</v>
          </cell>
          <cell r="AX2011">
            <v>0</v>
          </cell>
          <cell r="AY2011">
            <v>0</v>
          </cell>
          <cell r="AZ2011">
            <v>0</v>
          </cell>
          <cell r="BA2011">
            <v>0</v>
          </cell>
          <cell r="BD2011" t="str">
            <v/>
          </cell>
          <cell r="BE2011">
            <v>1</v>
          </cell>
          <cell r="BG2011" t="str">
            <v>1100</v>
          </cell>
        </row>
        <row r="2012">
          <cell r="B2012" t="str">
            <v>G422010106100100</v>
          </cell>
          <cell r="C2012" t="str">
            <v>42.長崎県</v>
          </cell>
          <cell r="D2012" t="str">
            <v>201</v>
          </cell>
          <cell r="E2012" t="str">
            <v>長崎市</v>
          </cell>
          <cell r="F2012" t="str">
            <v>01</v>
          </cell>
          <cell r="G2012" t="str">
            <v>公共 単独</v>
          </cell>
          <cell r="H2012" t="str">
            <v>公共下水道</v>
          </cell>
          <cell r="I2012" t="str">
            <v>単独</v>
          </cell>
          <cell r="J2012" t="str">
            <v>001</v>
          </cell>
          <cell r="K2012" t="str">
            <v>中部下水処理場</v>
          </cell>
          <cell r="M2012" t="str">
            <v>1</v>
          </cell>
          <cell r="N2012" t="str">
            <v>1</v>
          </cell>
          <cell r="Q2012">
            <v>22616</v>
          </cell>
          <cell r="R2012" t="str">
            <v>昭和</v>
          </cell>
          <cell r="S2012">
            <v>36</v>
          </cell>
          <cell r="T2012">
            <v>12</v>
          </cell>
          <cell r="AB2012">
            <v>28000</v>
          </cell>
          <cell r="AC2012" t="str">
            <v>浦上川</v>
          </cell>
          <cell r="AD2012" t="str">
            <v>Ｅ</v>
          </cell>
          <cell r="AE2012" t="str">
            <v>ハ</v>
          </cell>
          <cell r="AJ2012" t="str">
            <v>浦上川</v>
          </cell>
          <cell r="AQ2012" t="str">
            <v/>
          </cell>
          <cell r="AR2012" t="str">
            <v>標準活性汚泥法</v>
          </cell>
          <cell r="AS2012" t="str">
            <v>4220101001</v>
          </cell>
          <cell r="AT2012" t="str">
            <v/>
          </cell>
          <cell r="AU2012" t="str">
            <v>10</v>
          </cell>
          <cell r="AV2012" t="str">
            <v>10</v>
          </cell>
          <cell r="AW2012">
            <v>0</v>
          </cell>
          <cell r="AX2012">
            <v>0</v>
          </cell>
          <cell r="AY2012">
            <v>0</v>
          </cell>
          <cell r="AZ2012">
            <v>0</v>
          </cell>
          <cell r="BA2012">
            <v>0</v>
          </cell>
          <cell r="BD2012" t="str">
            <v/>
          </cell>
          <cell r="BE2012">
            <v>1</v>
          </cell>
          <cell r="BG2012" t="str">
            <v>1100</v>
          </cell>
        </row>
        <row r="2013">
          <cell r="B2013" t="str">
            <v>G422010106100200</v>
          </cell>
          <cell r="C2013" t="str">
            <v>42.長崎県</v>
          </cell>
          <cell r="D2013" t="str">
            <v>201</v>
          </cell>
          <cell r="E2013" t="str">
            <v>長崎市</v>
          </cell>
          <cell r="F2013" t="str">
            <v>01</v>
          </cell>
          <cell r="G2013" t="str">
            <v>公共 単独</v>
          </cell>
          <cell r="H2013" t="str">
            <v>公共下水道</v>
          </cell>
          <cell r="I2013" t="str">
            <v>単独</v>
          </cell>
          <cell r="J2013" t="str">
            <v>002</v>
          </cell>
          <cell r="K2013" t="str">
            <v>南部下水処理場</v>
          </cell>
          <cell r="M2013" t="str">
            <v>1</v>
          </cell>
          <cell r="N2013" t="str">
            <v>1</v>
          </cell>
          <cell r="Q2013">
            <v>30773</v>
          </cell>
          <cell r="R2013" t="str">
            <v>昭和</v>
          </cell>
          <cell r="S2013">
            <v>59</v>
          </cell>
          <cell r="T2013">
            <v>4</v>
          </cell>
          <cell r="AB2013">
            <v>43200</v>
          </cell>
          <cell r="AC2013" t="str">
            <v>長崎湾</v>
          </cell>
          <cell r="AD2013" t="str">
            <v>Ａ</v>
          </cell>
          <cell r="AE2013" t="str">
            <v>イ</v>
          </cell>
          <cell r="AI2013" t="str">
            <v>長崎湾</v>
          </cell>
          <cell r="AQ2013" t="str">
            <v/>
          </cell>
          <cell r="AR2013" t="str">
            <v>標準活性汚泥法</v>
          </cell>
          <cell r="AS2013" t="str">
            <v>4220101002</v>
          </cell>
          <cell r="AT2013" t="str">
            <v/>
          </cell>
          <cell r="AU2013" t="str">
            <v>10</v>
          </cell>
          <cell r="AV2013" t="str">
            <v>10</v>
          </cell>
          <cell r="AW2013">
            <v>0</v>
          </cell>
          <cell r="AX2013">
            <v>0</v>
          </cell>
          <cell r="AY2013">
            <v>0</v>
          </cell>
          <cell r="AZ2013">
            <v>0</v>
          </cell>
          <cell r="BA2013">
            <v>0</v>
          </cell>
          <cell r="BD2013" t="str">
            <v/>
          </cell>
          <cell r="BE2013">
            <v>1</v>
          </cell>
          <cell r="BG2013" t="str">
            <v>1100</v>
          </cell>
        </row>
        <row r="2014">
          <cell r="B2014" t="str">
            <v>G422010106100300</v>
          </cell>
          <cell r="C2014" t="str">
            <v>42.長崎県</v>
          </cell>
          <cell r="D2014" t="str">
            <v>201</v>
          </cell>
          <cell r="E2014" t="str">
            <v>長崎市</v>
          </cell>
          <cell r="F2014" t="str">
            <v>01</v>
          </cell>
          <cell r="G2014" t="str">
            <v>公共 単独</v>
          </cell>
          <cell r="H2014" t="str">
            <v>公共下水道</v>
          </cell>
          <cell r="I2014" t="str">
            <v>単独</v>
          </cell>
          <cell r="J2014" t="str">
            <v>003</v>
          </cell>
          <cell r="K2014" t="str">
            <v>三重下水処理場</v>
          </cell>
          <cell r="M2014" t="str">
            <v>1</v>
          </cell>
          <cell r="N2014" t="str">
            <v>1</v>
          </cell>
          <cell r="Q2014">
            <v>30895</v>
          </cell>
          <cell r="R2014" t="str">
            <v>昭和</v>
          </cell>
          <cell r="S2014">
            <v>59</v>
          </cell>
          <cell r="T2014">
            <v>8</v>
          </cell>
          <cell r="AB2014">
            <v>65000</v>
          </cell>
          <cell r="AC2014" t="str">
            <v>西彼海域</v>
          </cell>
          <cell r="AD2014" t="str">
            <v>Ａ</v>
          </cell>
          <cell r="AE2014" t="str">
            <v>イ</v>
          </cell>
          <cell r="AI2014" t="str">
            <v>畝刈湾</v>
          </cell>
          <cell r="AQ2014" t="str">
            <v/>
          </cell>
          <cell r="AR2014" t="str">
            <v>標準活性汚泥法</v>
          </cell>
          <cell r="AS2014" t="str">
            <v>4220101003</v>
          </cell>
          <cell r="AT2014" t="str">
            <v/>
          </cell>
          <cell r="AU2014" t="str">
            <v>10</v>
          </cell>
          <cell r="AV2014" t="str">
            <v>10</v>
          </cell>
          <cell r="AW2014">
            <v>0</v>
          </cell>
          <cell r="AX2014">
            <v>0</v>
          </cell>
          <cell r="AY2014">
            <v>0</v>
          </cell>
          <cell r="AZ2014">
            <v>0</v>
          </cell>
          <cell r="BA2014">
            <v>0</v>
          </cell>
          <cell r="BD2014" t="str">
            <v/>
          </cell>
          <cell r="BE2014">
            <v>1</v>
          </cell>
          <cell r="BG2014" t="str">
            <v>1100</v>
          </cell>
        </row>
        <row r="2015">
          <cell r="B2015" t="str">
            <v>G422010106100400</v>
          </cell>
          <cell r="C2015" t="str">
            <v>42.長崎県</v>
          </cell>
          <cell r="D2015" t="str">
            <v>201</v>
          </cell>
          <cell r="E2015" t="str">
            <v>長崎市</v>
          </cell>
          <cell r="F2015" t="str">
            <v>01</v>
          </cell>
          <cell r="G2015" t="str">
            <v>公共 単独</v>
          </cell>
          <cell r="H2015" t="str">
            <v>公共下水道</v>
          </cell>
          <cell r="I2015" t="str">
            <v>単独</v>
          </cell>
          <cell r="J2015" t="str">
            <v>004</v>
          </cell>
          <cell r="K2015" t="str">
            <v>東部下水処理場</v>
          </cell>
          <cell r="M2015" t="str">
            <v>1</v>
          </cell>
          <cell r="N2015" t="str">
            <v>1</v>
          </cell>
          <cell r="Q2015">
            <v>32599</v>
          </cell>
          <cell r="R2015" t="str">
            <v>平成</v>
          </cell>
          <cell r="S2015">
            <v>1</v>
          </cell>
          <cell r="T2015">
            <v>4</v>
          </cell>
          <cell r="AB2015">
            <v>37000</v>
          </cell>
          <cell r="AC2015" t="str">
            <v>網場湾</v>
          </cell>
          <cell r="AD2015" t="str">
            <v>Ａ</v>
          </cell>
          <cell r="AE2015" t="str">
            <v>イ</v>
          </cell>
          <cell r="AF2015">
            <v>14</v>
          </cell>
          <cell r="AI2015" t="str">
            <v>網場湾</v>
          </cell>
          <cell r="AQ2015" t="str">
            <v/>
          </cell>
          <cell r="AR2015" t="str">
            <v>標準活性汚泥法</v>
          </cell>
          <cell r="AS2015" t="str">
            <v>4220101004</v>
          </cell>
          <cell r="AT2015" t="str">
            <v/>
          </cell>
          <cell r="AU2015" t="str">
            <v>10</v>
          </cell>
          <cell r="AV2015" t="str">
            <v>10</v>
          </cell>
          <cell r="AW2015">
            <v>0</v>
          </cell>
          <cell r="AX2015">
            <v>0</v>
          </cell>
          <cell r="AY2015">
            <v>0</v>
          </cell>
          <cell r="AZ2015">
            <v>0</v>
          </cell>
          <cell r="BA2015">
            <v>0</v>
          </cell>
          <cell r="BD2015" t="str">
            <v/>
          </cell>
          <cell r="BE2015">
            <v>1</v>
          </cell>
          <cell r="BG2015" t="str">
            <v>1100</v>
          </cell>
        </row>
        <row r="2016">
          <cell r="B2016" t="str">
            <v>G422010106100500</v>
          </cell>
          <cell r="C2016" t="str">
            <v>42.長崎県</v>
          </cell>
          <cell r="D2016" t="str">
            <v>201</v>
          </cell>
          <cell r="E2016" t="str">
            <v>長崎市</v>
          </cell>
          <cell r="F2016" t="str">
            <v>01</v>
          </cell>
          <cell r="G2016" t="str">
            <v>公共 単独</v>
          </cell>
          <cell r="H2016" t="str">
            <v>公共下水道</v>
          </cell>
          <cell r="I2016" t="str">
            <v>単独</v>
          </cell>
          <cell r="J2016" t="str">
            <v>005</v>
          </cell>
          <cell r="K2016" t="str">
            <v>西部下水処理場</v>
          </cell>
          <cell r="M2016" t="str">
            <v>1</v>
          </cell>
          <cell r="N2016" t="str">
            <v>1</v>
          </cell>
          <cell r="P2016" t="str">
            <v>1</v>
          </cell>
          <cell r="Q2016">
            <v>33786</v>
          </cell>
          <cell r="R2016" t="str">
            <v>平成</v>
          </cell>
          <cell r="S2016">
            <v>4</v>
          </cell>
          <cell r="T2016">
            <v>7</v>
          </cell>
          <cell r="AB2016">
            <v>112100</v>
          </cell>
          <cell r="AC2016" t="str">
            <v>西彼海域</v>
          </cell>
          <cell r="AD2016" t="str">
            <v>Ａ</v>
          </cell>
          <cell r="AE2016" t="str">
            <v>イ</v>
          </cell>
          <cell r="AI2016" t="str">
            <v>長崎湾</v>
          </cell>
          <cell r="AQ2016" t="str">
            <v/>
          </cell>
          <cell r="AR2016" t="str">
            <v>標準活性汚泥法</v>
          </cell>
          <cell r="AS2016" t="str">
            <v>4220101005</v>
          </cell>
          <cell r="AT2016" t="str">
            <v/>
          </cell>
          <cell r="AU2016" t="str">
            <v>10</v>
          </cell>
          <cell r="AV2016" t="str">
            <v>10</v>
          </cell>
          <cell r="AW2016">
            <v>1</v>
          </cell>
          <cell r="AX2016">
            <v>0</v>
          </cell>
          <cell r="AY2016">
            <v>0</v>
          </cell>
          <cell r="AZ2016">
            <v>0</v>
          </cell>
          <cell r="BA2016">
            <v>0</v>
          </cell>
          <cell r="BD2016" t="str">
            <v/>
          </cell>
          <cell r="BE2016">
            <v>1</v>
          </cell>
          <cell r="BG2016" t="str">
            <v>1101</v>
          </cell>
        </row>
        <row r="2017">
          <cell r="B2017" t="str">
            <v>G422010106100600</v>
          </cell>
          <cell r="C2017" t="str">
            <v>42.長崎県</v>
          </cell>
          <cell r="D2017" t="str">
            <v>201</v>
          </cell>
          <cell r="E2017" t="str">
            <v>長崎市</v>
          </cell>
          <cell r="F2017" t="str">
            <v>01</v>
          </cell>
          <cell r="G2017" t="str">
            <v>公共 単独</v>
          </cell>
          <cell r="H2017" t="str">
            <v>公共下水道</v>
          </cell>
          <cell r="I2017" t="str">
            <v>単独</v>
          </cell>
          <cell r="J2017" t="str">
            <v>006</v>
          </cell>
          <cell r="K2017" t="str">
            <v>伊王島浄化センター</v>
          </cell>
          <cell r="M2017" t="str">
            <v>1</v>
          </cell>
          <cell r="N2017" t="str">
            <v>1</v>
          </cell>
          <cell r="Q2017">
            <v>37681</v>
          </cell>
          <cell r="R2017" t="str">
            <v>平成</v>
          </cell>
          <cell r="S2017">
            <v>15</v>
          </cell>
          <cell r="T2017">
            <v>3</v>
          </cell>
          <cell r="AB2017">
            <v>3500</v>
          </cell>
          <cell r="AF2017">
            <v>20</v>
          </cell>
          <cell r="AI2017" t="str">
            <v>塩町排水路</v>
          </cell>
          <cell r="AQ2017" t="str">
            <v/>
          </cell>
          <cell r="AR2017" t="str">
            <v>オキシディションディッチ法</v>
          </cell>
          <cell r="AS2017" t="str">
            <v>4220101006</v>
          </cell>
          <cell r="AT2017" t="str">
            <v/>
          </cell>
          <cell r="AU2017" t="str">
            <v>10</v>
          </cell>
          <cell r="AV2017" t="str">
            <v>10</v>
          </cell>
          <cell r="AW2017">
            <v>0</v>
          </cell>
          <cell r="AX2017">
            <v>0</v>
          </cell>
          <cell r="AY2017">
            <v>0</v>
          </cell>
          <cell r="AZ2017">
            <v>0</v>
          </cell>
          <cell r="BA2017">
            <v>0</v>
          </cell>
          <cell r="BD2017" t="str">
            <v/>
          </cell>
          <cell r="BE2017">
            <v>1</v>
          </cell>
          <cell r="BG2017" t="str">
            <v>1100</v>
          </cell>
        </row>
        <row r="2018">
          <cell r="B2018" t="str">
            <v>G422010106100700</v>
          </cell>
          <cell r="C2018" t="str">
            <v>42.長崎県</v>
          </cell>
          <cell r="D2018" t="str">
            <v>201</v>
          </cell>
          <cell r="E2018" t="str">
            <v>長崎市</v>
          </cell>
          <cell r="F2018" t="str">
            <v>01</v>
          </cell>
          <cell r="G2018" t="str">
            <v>公共 単独</v>
          </cell>
          <cell r="H2018" t="str">
            <v>公共下水道</v>
          </cell>
          <cell r="I2018" t="str">
            <v>単独</v>
          </cell>
          <cell r="J2018" t="str">
            <v>007</v>
          </cell>
          <cell r="K2018" t="str">
            <v>琴海南部浄化センター</v>
          </cell>
          <cell r="M2018" t="str">
            <v>1</v>
          </cell>
          <cell r="N2018" t="str">
            <v>1</v>
          </cell>
          <cell r="Q2018">
            <v>38412</v>
          </cell>
          <cell r="R2018" t="str">
            <v>平成</v>
          </cell>
          <cell r="S2018">
            <v>17</v>
          </cell>
          <cell r="T2018">
            <v>3</v>
          </cell>
          <cell r="AB2018">
            <v>9300</v>
          </cell>
          <cell r="AC2018" t="str">
            <v>大村湾</v>
          </cell>
          <cell r="AD2018" t="str">
            <v>Ａ</v>
          </cell>
          <cell r="AF2018">
            <v>15</v>
          </cell>
          <cell r="AJ2018" t="str">
            <v>村松川</v>
          </cell>
          <cell r="AL2018" t="str">
            <v>村松第二水源</v>
          </cell>
          <cell r="AM2018">
            <v>1</v>
          </cell>
          <cell r="AO2018" t="str">
            <v>長崎市</v>
          </cell>
          <cell r="AQ2018" t="str">
            <v/>
          </cell>
          <cell r="AR2018" t="str">
            <v>長時間エアレーション法</v>
          </cell>
          <cell r="AS2018" t="str">
            <v>4220101007</v>
          </cell>
          <cell r="AT2018" t="str">
            <v/>
          </cell>
          <cell r="AU2018" t="str">
            <v>10</v>
          </cell>
          <cell r="AV2018" t="str">
            <v>10</v>
          </cell>
          <cell r="AW2018">
            <v>0</v>
          </cell>
          <cell r="AX2018">
            <v>0</v>
          </cell>
          <cell r="AY2018">
            <v>0</v>
          </cell>
          <cell r="AZ2018">
            <v>0</v>
          </cell>
          <cell r="BA2018">
            <v>0</v>
          </cell>
          <cell r="BD2018" t="str">
            <v/>
          </cell>
          <cell r="BE2018">
            <v>1</v>
          </cell>
          <cell r="BG2018" t="str">
            <v>1100</v>
          </cell>
        </row>
        <row r="2019">
          <cell r="B2019" t="str">
            <v>G422010106100800</v>
          </cell>
          <cell r="C2019" t="str">
            <v>42.長崎県</v>
          </cell>
          <cell r="D2019" t="str">
            <v>201</v>
          </cell>
          <cell r="E2019" t="str">
            <v>長崎市</v>
          </cell>
          <cell r="F2019" t="str">
            <v>01</v>
          </cell>
          <cell r="G2019" t="str">
            <v>公共 単独</v>
          </cell>
          <cell r="H2019" t="str">
            <v>公共下水道</v>
          </cell>
          <cell r="I2019" t="str">
            <v>単独</v>
          </cell>
          <cell r="J2019" t="str">
            <v>008</v>
          </cell>
          <cell r="K2019" t="str">
            <v>大平浄化センター</v>
          </cell>
          <cell r="M2019" t="str">
            <v>1</v>
          </cell>
          <cell r="N2019" t="str">
            <v>1</v>
          </cell>
          <cell r="Q2019">
            <v>40238</v>
          </cell>
          <cell r="R2019" t="str">
            <v>平成</v>
          </cell>
          <cell r="S2019">
            <v>22</v>
          </cell>
          <cell r="T2019">
            <v>3</v>
          </cell>
          <cell r="AB2019">
            <v>2500</v>
          </cell>
          <cell r="AC2019" t="str">
            <v>大村湾</v>
          </cell>
          <cell r="AD2019" t="str">
            <v>Ａ-1</v>
          </cell>
          <cell r="AE2019" t="str">
            <v>イ</v>
          </cell>
          <cell r="AF2019">
            <v>15</v>
          </cell>
          <cell r="AI2019" t="str">
            <v>形上湾</v>
          </cell>
          <cell r="AQ2019" t="str">
            <v/>
          </cell>
          <cell r="AR2019" t="str">
            <v>オキシディションディッチ法</v>
          </cell>
          <cell r="AS2019" t="str">
            <v>4220101008</v>
          </cell>
          <cell r="AT2019" t="str">
            <v/>
          </cell>
          <cell r="AU2019" t="str">
            <v>10</v>
          </cell>
          <cell r="AV2019" t="str">
            <v>10</v>
          </cell>
          <cell r="AW2019">
            <v>0</v>
          </cell>
          <cell r="AX2019">
            <v>0</v>
          </cell>
          <cell r="AY2019">
            <v>0</v>
          </cell>
          <cell r="AZ2019">
            <v>0</v>
          </cell>
          <cell r="BA2019">
            <v>0</v>
          </cell>
          <cell r="BD2019" t="str">
            <v/>
          </cell>
          <cell r="BE2019">
            <v>1</v>
          </cell>
          <cell r="BG2019" t="str">
            <v>1100</v>
          </cell>
        </row>
        <row r="2020">
          <cell r="B2020" t="str">
            <v>G422010206100900</v>
          </cell>
          <cell r="C2020" t="str">
            <v>42.長崎県</v>
          </cell>
          <cell r="D2020" t="str">
            <v>201</v>
          </cell>
          <cell r="E2020" t="str">
            <v>長崎市</v>
          </cell>
          <cell r="F2020" t="str">
            <v>02</v>
          </cell>
          <cell r="G2020" t="str">
            <v>特環 単独</v>
          </cell>
          <cell r="H2020" t="str">
            <v>特定環境保全公共下水道</v>
          </cell>
          <cell r="I2020" t="str">
            <v>単独</v>
          </cell>
          <cell r="J2020" t="str">
            <v>009</v>
          </cell>
          <cell r="K2020" t="str">
            <v>高島浄化センター</v>
          </cell>
          <cell r="M2020" t="str">
            <v>1</v>
          </cell>
          <cell r="N2020" t="str">
            <v>1</v>
          </cell>
          <cell r="Q2020">
            <v>36495</v>
          </cell>
          <cell r="R2020" t="str">
            <v>平成</v>
          </cell>
          <cell r="S2020">
            <v>11</v>
          </cell>
          <cell r="T2020">
            <v>12</v>
          </cell>
          <cell r="AB2020">
            <v>3000</v>
          </cell>
          <cell r="AF2020">
            <v>15</v>
          </cell>
          <cell r="AG2020">
            <v>20</v>
          </cell>
          <cell r="AH2020">
            <v>3</v>
          </cell>
          <cell r="AI2020" t="str">
            <v>西彼海域</v>
          </cell>
          <cell r="AQ2020" t="str">
            <v/>
          </cell>
          <cell r="AR2020" t="str">
            <v>オキシディションディッチ法</v>
          </cell>
          <cell r="AS2020" t="str">
            <v>4220102009</v>
          </cell>
          <cell r="AT2020" t="str">
            <v/>
          </cell>
          <cell r="AU2020" t="str">
            <v>10</v>
          </cell>
          <cell r="AV2020" t="str">
            <v>10</v>
          </cell>
          <cell r="AW2020">
            <v>0</v>
          </cell>
          <cell r="AX2020">
            <v>0</v>
          </cell>
          <cell r="AY2020">
            <v>0</v>
          </cell>
          <cell r="AZ2020">
            <v>0</v>
          </cell>
          <cell r="BA2020">
            <v>0</v>
          </cell>
          <cell r="BD2020" t="str">
            <v/>
          </cell>
          <cell r="BE2020">
            <v>1</v>
          </cell>
          <cell r="BG2020" t="str">
            <v>1100</v>
          </cell>
        </row>
        <row r="2021">
          <cell r="B2021" t="str">
            <v>G422010206101000</v>
          </cell>
          <cell r="C2021" t="str">
            <v>42.長崎県</v>
          </cell>
          <cell r="D2021" t="str">
            <v>201</v>
          </cell>
          <cell r="E2021" t="str">
            <v>長崎市</v>
          </cell>
          <cell r="F2021" t="str">
            <v>02</v>
          </cell>
          <cell r="G2021" t="str">
            <v>特環 単独</v>
          </cell>
          <cell r="H2021" t="str">
            <v>特定環境保全公共下水道</v>
          </cell>
          <cell r="I2021" t="str">
            <v>単独</v>
          </cell>
          <cell r="J2021" t="str">
            <v>010</v>
          </cell>
          <cell r="K2021" t="str">
            <v>神浦浄化センター</v>
          </cell>
          <cell r="M2021" t="str">
            <v>1</v>
          </cell>
          <cell r="N2021" t="str">
            <v>1</v>
          </cell>
          <cell r="Q2021">
            <v>37347</v>
          </cell>
          <cell r="R2021" t="str">
            <v>平成</v>
          </cell>
          <cell r="S2021">
            <v>14</v>
          </cell>
          <cell r="T2021">
            <v>4</v>
          </cell>
          <cell r="AB2021">
            <v>7334</v>
          </cell>
          <cell r="AC2021" t="str">
            <v>神浦川</v>
          </cell>
          <cell r="AD2021" t="str">
            <v>Ａ</v>
          </cell>
          <cell r="AE2021" t="str">
            <v>イ</v>
          </cell>
          <cell r="AF2021">
            <v>15</v>
          </cell>
          <cell r="AJ2021" t="str">
            <v>神浦川</v>
          </cell>
          <cell r="AQ2021" t="str">
            <v/>
          </cell>
          <cell r="AR2021" t="str">
            <v>オキシディションディッチ法</v>
          </cell>
          <cell r="AS2021" t="str">
            <v>4220102010</v>
          </cell>
          <cell r="AT2021" t="str">
            <v/>
          </cell>
          <cell r="AU2021" t="str">
            <v>10</v>
          </cell>
          <cell r="AV2021" t="str">
            <v>10</v>
          </cell>
          <cell r="AW2021">
            <v>0</v>
          </cell>
          <cell r="AX2021">
            <v>0</v>
          </cell>
          <cell r="AY2021">
            <v>0</v>
          </cell>
          <cell r="AZ2021">
            <v>0</v>
          </cell>
          <cell r="BA2021">
            <v>0</v>
          </cell>
          <cell r="BD2021" t="str">
            <v/>
          </cell>
          <cell r="BE2021">
            <v>1</v>
          </cell>
          <cell r="BG2021" t="str">
            <v>1100</v>
          </cell>
        </row>
        <row r="2022">
          <cell r="B2022" t="str">
            <v>G422010206101100</v>
          </cell>
          <cell r="C2022" t="str">
            <v>42.長崎県</v>
          </cell>
          <cell r="D2022" t="str">
            <v>201</v>
          </cell>
          <cell r="E2022" t="str">
            <v>長崎市</v>
          </cell>
          <cell r="F2022" t="str">
            <v>02</v>
          </cell>
          <cell r="G2022" t="str">
            <v>特環 単独</v>
          </cell>
          <cell r="H2022" t="str">
            <v>特定環境保全公共下水道</v>
          </cell>
          <cell r="I2022" t="str">
            <v>単独</v>
          </cell>
          <cell r="J2022" t="str">
            <v>011</v>
          </cell>
          <cell r="K2022" t="str">
            <v>脇岬浄化センター</v>
          </cell>
          <cell r="M2022" t="str">
            <v>1</v>
          </cell>
          <cell r="N2022" t="str">
            <v>1</v>
          </cell>
          <cell r="Q2022">
            <v>39904</v>
          </cell>
          <cell r="R2022" t="str">
            <v>平成</v>
          </cell>
          <cell r="S2022">
            <v>21</v>
          </cell>
          <cell r="T2022">
            <v>4</v>
          </cell>
          <cell r="AB2022">
            <v>3100</v>
          </cell>
          <cell r="AC2022" t="str">
            <v>橘湾地先海域</v>
          </cell>
          <cell r="AD2022" t="str">
            <v>Ａ</v>
          </cell>
          <cell r="AE2022" t="str">
            <v>イ</v>
          </cell>
          <cell r="AF2022">
            <v>15</v>
          </cell>
          <cell r="AI2022" t="str">
            <v>橘湾地先海域</v>
          </cell>
          <cell r="AQ2022" t="str">
            <v/>
          </cell>
          <cell r="AR2022" t="str">
            <v>オキシディションディッチ法</v>
          </cell>
          <cell r="AS2022" t="str">
            <v>4220102011</v>
          </cell>
          <cell r="AT2022" t="str">
            <v/>
          </cell>
          <cell r="AU2022" t="str">
            <v>10</v>
          </cell>
          <cell r="AV2022" t="str">
            <v>10</v>
          </cell>
          <cell r="AW2022">
            <v>0</v>
          </cell>
          <cell r="AX2022">
            <v>0</v>
          </cell>
          <cell r="AY2022">
            <v>0</v>
          </cell>
          <cell r="AZ2022">
            <v>0</v>
          </cell>
          <cell r="BA2022">
            <v>0</v>
          </cell>
          <cell r="BD2022" t="str">
            <v/>
          </cell>
          <cell r="BE2022">
            <v>1</v>
          </cell>
          <cell r="BG2022" t="str">
            <v>1100</v>
          </cell>
        </row>
        <row r="2023">
          <cell r="B2023" t="str">
            <v>G422020106100100</v>
          </cell>
          <cell r="C2023" t="str">
            <v>42.長崎県</v>
          </cell>
          <cell r="D2023" t="str">
            <v>202</v>
          </cell>
          <cell r="E2023" t="str">
            <v>佐世保市</v>
          </cell>
          <cell r="F2023" t="str">
            <v>01</v>
          </cell>
          <cell r="G2023" t="str">
            <v>公共 単独</v>
          </cell>
          <cell r="H2023" t="str">
            <v>公共下水道</v>
          </cell>
          <cell r="I2023" t="str">
            <v>単独</v>
          </cell>
          <cell r="J2023" t="str">
            <v>001</v>
          </cell>
          <cell r="K2023" t="str">
            <v>中部下水処理場</v>
          </cell>
          <cell r="M2023" t="str">
            <v>1</v>
          </cell>
          <cell r="N2023" t="str">
            <v>1</v>
          </cell>
          <cell r="P2023" t="str">
            <v>1</v>
          </cell>
          <cell r="Q2023">
            <v>22525</v>
          </cell>
          <cell r="R2023" t="str">
            <v>昭和</v>
          </cell>
          <cell r="S2023">
            <v>36</v>
          </cell>
          <cell r="T2023">
            <v>9</v>
          </cell>
          <cell r="AB2023">
            <v>42837</v>
          </cell>
          <cell r="AC2023" t="str">
            <v>佐世保湾</v>
          </cell>
          <cell r="AD2023" t="str">
            <v>Ｂ</v>
          </cell>
          <cell r="AE2023" t="str">
            <v>イ</v>
          </cell>
          <cell r="AF2023">
            <v>15</v>
          </cell>
          <cell r="AI2023" t="str">
            <v>佐世保湾</v>
          </cell>
          <cell r="AQ2023" t="str">
            <v/>
          </cell>
          <cell r="AR2023" t="str">
            <v>標準活性汚泥法</v>
          </cell>
          <cell r="AS2023" t="str">
            <v>4220201001</v>
          </cell>
          <cell r="AT2023" t="str">
            <v/>
          </cell>
          <cell r="AU2023" t="str">
            <v>10</v>
          </cell>
          <cell r="AV2023" t="str">
            <v>10</v>
          </cell>
          <cell r="AW2023">
            <v>1</v>
          </cell>
          <cell r="AX2023">
            <v>0</v>
          </cell>
          <cell r="AY2023">
            <v>0</v>
          </cell>
          <cell r="AZ2023">
            <v>0</v>
          </cell>
          <cell r="BA2023">
            <v>0</v>
          </cell>
          <cell r="BD2023" t="str">
            <v/>
          </cell>
          <cell r="BE2023">
            <v>1</v>
          </cell>
          <cell r="BG2023" t="str">
            <v>1101</v>
          </cell>
        </row>
        <row r="2024">
          <cell r="B2024" t="str">
            <v>G422020106100200</v>
          </cell>
          <cell r="C2024" t="str">
            <v>42.長崎県</v>
          </cell>
          <cell r="D2024" t="str">
            <v>202</v>
          </cell>
          <cell r="E2024" t="str">
            <v>佐世保市</v>
          </cell>
          <cell r="F2024" t="str">
            <v>01</v>
          </cell>
          <cell r="G2024" t="str">
            <v>公共 単独</v>
          </cell>
          <cell r="H2024" t="str">
            <v>公共下水道</v>
          </cell>
          <cell r="I2024" t="str">
            <v>単独</v>
          </cell>
          <cell r="J2024" t="str">
            <v>002</v>
          </cell>
          <cell r="K2024" t="str">
            <v>針尾下水処理場</v>
          </cell>
          <cell r="M2024" t="str">
            <v>1</v>
          </cell>
          <cell r="N2024" t="str">
            <v>1</v>
          </cell>
          <cell r="P2024" t="str">
            <v>1</v>
          </cell>
          <cell r="Q2024">
            <v>33664</v>
          </cell>
          <cell r="R2024" t="str">
            <v>平成</v>
          </cell>
          <cell r="S2024">
            <v>4</v>
          </cell>
          <cell r="T2024">
            <v>3</v>
          </cell>
          <cell r="AB2024">
            <v>6123</v>
          </cell>
          <cell r="AC2024" t="str">
            <v>大村湾</v>
          </cell>
          <cell r="AD2024" t="str">
            <v>Ａ</v>
          </cell>
          <cell r="AE2024" t="str">
            <v>イ</v>
          </cell>
          <cell r="AF2024">
            <v>15</v>
          </cell>
          <cell r="AI2024" t="str">
            <v>大村湾</v>
          </cell>
          <cell r="AQ2024" t="str">
            <v/>
          </cell>
          <cell r="AR2024" t="str">
            <v>標準活性汚泥法</v>
          </cell>
          <cell r="AS2024" t="str">
            <v>4220201002</v>
          </cell>
          <cell r="AT2024" t="str">
            <v/>
          </cell>
          <cell r="AU2024" t="str">
            <v>10</v>
          </cell>
          <cell r="AV2024" t="str">
            <v>10</v>
          </cell>
          <cell r="AW2024">
            <v>1</v>
          </cell>
          <cell r="AX2024">
            <v>0</v>
          </cell>
          <cell r="AY2024">
            <v>0</v>
          </cell>
          <cell r="AZ2024">
            <v>0</v>
          </cell>
          <cell r="BA2024">
            <v>0</v>
          </cell>
          <cell r="BD2024" t="str">
            <v/>
          </cell>
          <cell r="BE2024">
            <v>1</v>
          </cell>
          <cell r="BG2024" t="str">
            <v>1101</v>
          </cell>
        </row>
        <row r="2025">
          <cell r="B2025" t="str">
            <v>G422020106100300</v>
          </cell>
          <cell r="C2025" t="str">
            <v>42.長崎県</v>
          </cell>
          <cell r="D2025" t="str">
            <v>202</v>
          </cell>
          <cell r="E2025" t="str">
            <v>佐世保市</v>
          </cell>
          <cell r="F2025" t="str">
            <v>01</v>
          </cell>
          <cell r="G2025" t="str">
            <v>公共 単独</v>
          </cell>
          <cell r="H2025" t="str">
            <v>公共下水道</v>
          </cell>
          <cell r="I2025" t="str">
            <v>単独</v>
          </cell>
          <cell r="J2025" t="str">
            <v>003</v>
          </cell>
          <cell r="K2025" t="str">
            <v>江迎浄化センター</v>
          </cell>
          <cell r="M2025" t="str">
            <v>1</v>
          </cell>
          <cell r="N2025" t="str">
            <v>1</v>
          </cell>
          <cell r="Q2025">
            <v>38047</v>
          </cell>
          <cell r="R2025" t="str">
            <v>平成</v>
          </cell>
          <cell r="S2025">
            <v>16</v>
          </cell>
          <cell r="T2025">
            <v>3</v>
          </cell>
          <cell r="AB2025">
            <v>18830</v>
          </cell>
          <cell r="AC2025" t="str">
            <v>北松海域</v>
          </cell>
          <cell r="AD2025" t="str">
            <v>Ａ</v>
          </cell>
          <cell r="AE2025" t="str">
            <v>イ</v>
          </cell>
          <cell r="AF2025">
            <v>15</v>
          </cell>
          <cell r="AI2025" t="str">
            <v>新地排水路</v>
          </cell>
          <cell r="AL2025" t="str">
            <v>中尾ポンプ室</v>
          </cell>
          <cell r="AM2025">
            <v>2.5</v>
          </cell>
          <cell r="AQ2025" t="str">
            <v/>
          </cell>
          <cell r="AR2025" t="str">
            <v>オキシディションディッチ法</v>
          </cell>
          <cell r="AS2025" t="str">
            <v>4220201003</v>
          </cell>
          <cell r="AT2025" t="str">
            <v/>
          </cell>
          <cell r="AU2025" t="str">
            <v>10</v>
          </cell>
          <cell r="AV2025" t="str">
            <v>10</v>
          </cell>
          <cell r="AW2025">
            <v>0</v>
          </cell>
          <cell r="AX2025">
            <v>0</v>
          </cell>
          <cell r="AY2025">
            <v>0</v>
          </cell>
          <cell r="AZ2025">
            <v>0</v>
          </cell>
          <cell r="BA2025">
            <v>0</v>
          </cell>
          <cell r="BD2025" t="str">
            <v/>
          </cell>
          <cell r="BE2025">
            <v>1</v>
          </cell>
          <cell r="BG2025" t="str">
            <v>1100</v>
          </cell>
        </row>
        <row r="2026">
          <cell r="B2026" t="str">
            <v>G422020106100400</v>
          </cell>
          <cell r="C2026" t="str">
            <v>42.長崎県</v>
          </cell>
          <cell r="D2026" t="str">
            <v>202</v>
          </cell>
          <cell r="E2026" t="str">
            <v>佐世保市</v>
          </cell>
          <cell r="F2026" t="str">
            <v>01</v>
          </cell>
          <cell r="G2026" t="str">
            <v>公共 単独</v>
          </cell>
          <cell r="H2026" t="str">
            <v>公共下水道</v>
          </cell>
          <cell r="I2026" t="str">
            <v>単独</v>
          </cell>
          <cell r="J2026" t="str">
            <v>004</v>
          </cell>
          <cell r="K2026" t="str">
            <v>西部下水処理場</v>
          </cell>
          <cell r="M2026" t="str">
            <v>1</v>
          </cell>
          <cell r="N2026" t="str">
            <v>1</v>
          </cell>
          <cell r="Q2026">
            <v>40269</v>
          </cell>
          <cell r="R2026" t="str">
            <v>平成</v>
          </cell>
          <cell r="S2026">
            <v>22</v>
          </cell>
          <cell r="T2026">
            <v>4</v>
          </cell>
          <cell r="AB2026">
            <v>57856</v>
          </cell>
          <cell r="AC2026" t="str">
            <v>相浦川</v>
          </cell>
          <cell r="AD2026" t="str">
            <v>Ｂ</v>
          </cell>
          <cell r="AE2026" t="str">
            <v>イ</v>
          </cell>
          <cell r="AF2026">
            <v>10</v>
          </cell>
          <cell r="AI2026" t="str">
            <v>北松海域</v>
          </cell>
          <cell r="AQ2026" t="str">
            <v/>
          </cell>
          <cell r="AR2026" t="str">
            <v>標準活性汚泥法</v>
          </cell>
          <cell r="AS2026" t="str">
            <v>4220201004</v>
          </cell>
          <cell r="AT2026" t="str">
            <v/>
          </cell>
          <cell r="AU2026" t="str">
            <v>10</v>
          </cell>
          <cell r="AV2026" t="str">
            <v>10</v>
          </cell>
          <cell r="AW2026">
            <v>0</v>
          </cell>
          <cell r="AX2026">
            <v>0</v>
          </cell>
          <cell r="AY2026">
            <v>0</v>
          </cell>
          <cell r="AZ2026">
            <v>0</v>
          </cell>
          <cell r="BA2026">
            <v>0</v>
          </cell>
          <cell r="BD2026" t="str">
            <v/>
          </cell>
          <cell r="BE2026">
            <v>1</v>
          </cell>
          <cell r="BG2026" t="str">
            <v>1100</v>
          </cell>
        </row>
        <row r="2027">
          <cell r="B2027" t="str">
            <v>G422040106100100</v>
          </cell>
          <cell r="C2027" t="str">
            <v>42.長崎県</v>
          </cell>
          <cell r="D2027" t="str">
            <v>204</v>
          </cell>
          <cell r="E2027" t="str">
            <v>諫早市</v>
          </cell>
          <cell r="F2027" t="str">
            <v>01</v>
          </cell>
          <cell r="G2027" t="str">
            <v>公共 単独</v>
          </cell>
          <cell r="H2027" t="str">
            <v>公共下水道</v>
          </cell>
          <cell r="I2027" t="str">
            <v>単独</v>
          </cell>
          <cell r="J2027" t="str">
            <v>001</v>
          </cell>
          <cell r="K2027" t="str">
            <v>諫早中央浄化センター</v>
          </cell>
          <cell r="M2027" t="str">
            <v>1</v>
          </cell>
          <cell r="N2027" t="str">
            <v>1</v>
          </cell>
          <cell r="Q2027">
            <v>34608</v>
          </cell>
          <cell r="R2027" t="str">
            <v>平成</v>
          </cell>
          <cell r="S2027">
            <v>6</v>
          </cell>
          <cell r="T2027">
            <v>10</v>
          </cell>
          <cell r="AB2027">
            <v>67540</v>
          </cell>
          <cell r="AC2027" t="str">
            <v>本明川下流</v>
          </cell>
          <cell r="AD2027" t="str">
            <v>Ｂ</v>
          </cell>
          <cell r="AE2027" t="str">
            <v>ハ</v>
          </cell>
          <cell r="AF2027">
            <v>10</v>
          </cell>
          <cell r="AG2027">
            <v>20</v>
          </cell>
          <cell r="AH2027">
            <v>1</v>
          </cell>
          <cell r="AK2027" t="str">
            <v>本明川</v>
          </cell>
          <cell r="AQ2027" t="str">
            <v/>
          </cell>
          <cell r="AR2027" t="str">
            <v>循環式硝化脱窒法</v>
          </cell>
          <cell r="AS2027" t="str">
            <v>4220401001</v>
          </cell>
          <cell r="AT2027" t="str">
            <v/>
          </cell>
          <cell r="AU2027" t="str">
            <v>10</v>
          </cell>
          <cell r="AV2027" t="str">
            <v>10</v>
          </cell>
          <cell r="AW2027">
            <v>0</v>
          </cell>
          <cell r="AX2027">
            <v>0</v>
          </cell>
          <cell r="AY2027">
            <v>0</v>
          </cell>
          <cell r="AZ2027">
            <v>0</v>
          </cell>
          <cell r="BA2027">
            <v>0</v>
          </cell>
          <cell r="BD2027" t="str">
            <v/>
          </cell>
          <cell r="BE2027">
            <v>1</v>
          </cell>
          <cell r="BG2027" t="str">
            <v>1100</v>
          </cell>
        </row>
        <row r="2028">
          <cell r="B2028" t="str">
            <v>G422040206100200</v>
          </cell>
          <cell r="C2028" t="str">
            <v>42.長崎県</v>
          </cell>
          <cell r="D2028" t="str">
            <v>204</v>
          </cell>
          <cell r="E2028" t="str">
            <v>諫早市</v>
          </cell>
          <cell r="F2028" t="str">
            <v>02</v>
          </cell>
          <cell r="G2028" t="str">
            <v>特環 単独</v>
          </cell>
          <cell r="H2028" t="str">
            <v>特定環境保全公共下水道</v>
          </cell>
          <cell r="I2028" t="str">
            <v>単独</v>
          </cell>
          <cell r="J2028" t="str">
            <v>002</v>
          </cell>
          <cell r="K2028" t="str">
            <v>小長井浄化センター</v>
          </cell>
          <cell r="M2028" t="str">
            <v>1</v>
          </cell>
          <cell r="N2028" t="str">
            <v>1</v>
          </cell>
          <cell r="Q2028">
            <v>37712</v>
          </cell>
          <cell r="R2028" t="str">
            <v>平成</v>
          </cell>
          <cell r="S2028">
            <v>15</v>
          </cell>
          <cell r="T2028">
            <v>4</v>
          </cell>
          <cell r="AB2028">
            <v>13600</v>
          </cell>
          <cell r="AC2028" t="str">
            <v>有明海（16）</v>
          </cell>
          <cell r="AD2028" t="str">
            <v>Ａ</v>
          </cell>
          <cell r="AE2028" t="str">
            <v>イ</v>
          </cell>
          <cell r="AF2028">
            <v>15</v>
          </cell>
          <cell r="AI2028" t="str">
            <v>有明海</v>
          </cell>
          <cell r="AQ2028" t="str">
            <v/>
          </cell>
          <cell r="AR2028" t="str">
            <v>オキシディションディッチ法</v>
          </cell>
          <cell r="AS2028" t="str">
            <v>4220402002</v>
          </cell>
          <cell r="AT2028" t="str">
            <v/>
          </cell>
          <cell r="AU2028" t="str">
            <v>10</v>
          </cell>
          <cell r="AV2028" t="str">
            <v>10</v>
          </cell>
          <cell r="AW2028">
            <v>0</v>
          </cell>
          <cell r="AX2028">
            <v>0</v>
          </cell>
          <cell r="AY2028">
            <v>0</v>
          </cell>
          <cell r="AZ2028">
            <v>0</v>
          </cell>
          <cell r="BA2028">
            <v>0</v>
          </cell>
          <cell r="BD2028" t="str">
            <v/>
          </cell>
          <cell r="BE2028">
            <v>1</v>
          </cell>
          <cell r="BG2028" t="str">
            <v>1100</v>
          </cell>
        </row>
        <row r="2029">
          <cell r="B2029" t="str">
            <v>G422040206100300</v>
          </cell>
          <cell r="C2029" t="str">
            <v>42.長崎県</v>
          </cell>
          <cell r="D2029" t="str">
            <v>204</v>
          </cell>
          <cell r="E2029" t="str">
            <v>諫早市</v>
          </cell>
          <cell r="F2029" t="str">
            <v>02</v>
          </cell>
          <cell r="G2029" t="str">
            <v>特環 単独</v>
          </cell>
          <cell r="H2029" t="str">
            <v>特定環境保全公共下水道</v>
          </cell>
          <cell r="I2029" t="str">
            <v>単独</v>
          </cell>
          <cell r="J2029" t="str">
            <v>003</v>
          </cell>
          <cell r="K2029" t="str">
            <v>高来浄化センター</v>
          </cell>
          <cell r="M2029" t="str">
            <v>1</v>
          </cell>
          <cell r="N2029" t="str">
            <v>1</v>
          </cell>
          <cell r="Q2029">
            <v>38047</v>
          </cell>
          <cell r="R2029" t="str">
            <v>平成</v>
          </cell>
          <cell r="S2029">
            <v>16</v>
          </cell>
          <cell r="T2029">
            <v>3</v>
          </cell>
          <cell r="AB2029">
            <v>20800</v>
          </cell>
          <cell r="AC2029" t="str">
            <v>有明海水域（16）</v>
          </cell>
          <cell r="AD2029" t="str">
            <v>Ａ</v>
          </cell>
          <cell r="AE2029" t="str">
            <v>イ</v>
          </cell>
          <cell r="AF2029">
            <v>15</v>
          </cell>
          <cell r="AJ2029" t="str">
            <v>馬渡川</v>
          </cell>
          <cell r="AQ2029" t="str">
            <v/>
          </cell>
          <cell r="AR2029" t="str">
            <v>オキシディションディッチ法</v>
          </cell>
          <cell r="AS2029" t="str">
            <v>4220402003</v>
          </cell>
          <cell r="AT2029" t="str">
            <v/>
          </cell>
          <cell r="AU2029" t="str">
            <v>10</v>
          </cell>
          <cell r="AV2029" t="str">
            <v>10</v>
          </cell>
          <cell r="AW2029">
            <v>0</v>
          </cell>
          <cell r="AX2029">
            <v>0</v>
          </cell>
          <cell r="AY2029">
            <v>0</v>
          </cell>
          <cell r="AZ2029">
            <v>0</v>
          </cell>
          <cell r="BA2029">
            <v>0</v>
          </cell>
          <cell r="BD2029" t="str">
            <v/>
          </cell>
          <cell r="BE2029">
            <v>1</v>
          </cell>
          <cell r="BG2029" t="str">
            <v>1100</v>
          </cell>
        </row>
        <row r="2030">
          <cell r="B2030" t="str">
            <v>G422040206100400</v>
          </cell>
          <cell r="C2030" t="str">
            <v>42.長崎県</v>
          </cell>
          <cell r="D2030" t="str">
            <v>204</v>
          </cell>
          <cell r="E2030" t="str">
            <v>諫早市</v>
          </cell>
          <cell r="F2030" t="str">
            <v>02</v>
          </cell>
          <cell r="G2030" t="str">
            <v>特環 単独</v>
          </cell>
          <cell r="H2030" t="str">
            <v>特定環境保全公共下水道</v>
          </cell>
          <cell r="I2030" t="str">
            <v>単独</v>
          </cell>
          <cell r="J2030" t="str">
            <v>004</v>
          </cell>
          <cell r="K2030" t="str">
            <v>田結浄化センター</v>
          </cell>
          <cell r="M2030" t="str">
            <v>1</v>
          </cell>
          <cell r="N2030" t="str">
            <v>1</v>
          </cell>
          <cell r="Q2030">
            <v>39508</v>
          </cell>
          <cell r="R2030" t="str">
            <v>平成</v>
          </cell>
          <cell r="S2030">
            <v>20</v>
          </cell>
          <cell r="T2030">
            <v>3</v>
          </cell>
          <cell r="AB2030">
            <v>3910</v>
          </cell>
          <cell r="AC2030" t="str">
            <v>長崎県沿岸海域</v>
          </cell>
          <cell r="AD2030" t="str">
            <v>Ａ</v>
          </cell>
          <cell r="AE2030" t="str">
            <v>イ</v>
          </cell>
          <cell r="AF2030">
            <v>15</v>
          </cell>
          <cell r="AI2030" t="str">
            <v>橘湾</v>
          </cell>
          <cell r="AQ2030" t="str">
            <v/>
          </cell>
          <cell r="AR2030" t="str">
            <v>オキシディションディッチ法</v>
          </cell>
          <cell r="AS2030" t="str">
            <v>4220402004</v>
          </cell>
          <cell r="AT2030" t="str">
            <v/>
          </cell>
          <cell r="AU2030" t="str">
            <v>10</v>
          </cell>
          <cell r="AV2030" t="str">
            <v>10</v>
          </cell>
          <cell r="AW2030">
            <v>0</v>
          </cell>
          <cell r="AX2030">
            <v>0</v>
          </cell>
          <cell r="AY2030">
            <v>0</v>
          </cell>
          <cell r="AZ2030">
            <v>0</v>
          </cell>
          <cell r="BA2030">
            <v>0</v>
          </cell>
          <cell r="BD2030" t="str">
            <v/>
          </cell>
          <cell r="BE2030">
            <v>1</v>
          </cell>
          <cell r="BG2030" t="str">
            <v>1100</v>
          </cell>
        </row>
        <row r="2031">
          <cell r="B2031" t="str">
            <v>G422050106100100</v>
          </cell>
          <cell r="C2031" t="str">
            <v>42.長崎県</v>
          </cell>
          <cell r="D2031" t="str">
            <v>205</v>
          </cell>
          <cell r="E2031" t="str">
            <v>大村市</v>
          </cell>
          <cell r="F2031" t="str">
            <v>01</v>
          </cell>
          <cell r="G2031" t="str">
            <v>公共 単独</v>
          </cell>
          <cell r="H2031" t="str">
            <v>公共下水道</v>
          </cell>
          <cell r="I2031" t="str">
            <v>単独</v>
          </cell>
          <cell r="J2031" t="str">
            <v>001</v>
          </cell>
          <cell r="K2031" t="str">
            <v>大村浄水管理センター</v>
          </cell>
          <cell r="M2031" t="str">
            <v>1</v>
          </cell>
          <cell r="N2031" t="str">
            <v>1</v>
          </cell>
          <cell r="P2031" t="str">
            <v>1</v>
          </cell>
          <cell r="Q2031">
            <v>29677</v>
          </cell>
          <cell r="R2031" t="str">
            <v>昭和</v>
          </cell>
          <cell r="S2031">
            <v>56</v>
          </cell>
          <cell r="T2031">
            <v>4</v>
          </cell>
          <cell r="AB2031">
            <v>75400</v>
          </cell>
          <cell r="AC2031" t="str">
            <v>大村湾</v>
          </cell>
          <cell r="AD2031" t="str">
            <v>Ａ</v>
          </cell>
          <cell r="AE2031" t="str">
            <v>イ</v>
          </cell>
          <cell r="AF2031">
            <v>15</v>
          </cell>
          <cell r="AI2031" t="str">
            <v>大村湾</v>
          </cell>
          <cell r="AQ2031" t="str">
            <v/>
          </cell>
          <cell r="AR2031" t="str">
            <v>標準活性汚泥法</v>
          </cell>
          <cell r="AS2031" t="str">
            <v>4220501001</v>
          </cell>
          <cell r="AT2031" t="str">
            <v/>
          </cell>
          <cell r="AU2031" t="str">
            <v>10</v>
          </cell>
          <cell r="AV2031" t="str">
            <v>10</v>
          </cell>
          <cell r="AW2031">
            <v>1</v>
          </cell>
          <cell r="AX2031">
            <v>0</v>
          </cell>
          <cell r="AY2031">
            <v>0</v>
          </cell>
          <cell r="AZ2031">
            <v>0</v>
          </cell>
          <cell r="BA2031">
            <v>0</v>
          </cell>
          <cell r="BD2031" t="str">
            <v/>
          </cell>
          <cell r="BE2031">
            <v>1</v>
          </cell>
          <cell r="BG2031" t="str">
            <v>1101</v>
          </cell>
        </row>
        <row r="2032">
          <cell r="B2032" t="str">
            <v>G422080106100100</v>
          </cell>
          <cell r="C2032" t="str">
            <v>42.長崎県</v>
          </cell>
          <cell r="D2032" t="str">
            <v>208</v>
          </cell>
          <cell r="E2032" t="str">
            <v>松浦市</v>
          </cell>
          <cell r="F2032" t="str">
            <v>01</v>
          </cell>
          <cell r="G2032" t="str">
            <v>公共 単独</v>
          </cell>
          <cell r="H2032" t="str">
            <v>公共下水道</v>
          </cell>
          <cell r="I2032" t="str">
            <v>単独</v>
          </cell>
          <cell r="J2032" t="str">
            <v>001</v>
          </cell>
          <cell r="K2032" t="str">
            <v>松浦水きよら館</v>
          </cell>
          <cell r="M2032" t="str">
            <v>1</v>
          </cell>
          <cell r="N2032" t="str">
            <v>1</v>
          </cell>
          <cell r="Q2032">
            <v>39538</v>
          </cell>
          <cell r="R2032" t="str">
            <v>平成</v>
          </cell>
          <cell r="S2032">
            <v>20</v>
          </cell>
          <cell r="T2032">
            <v>3</v>
          </cell>
          <cell r="AB2032">
            <v>27938</v>
          </cell>
          <cell r="AC2032" t="str">
            <v>伊万里湾</v>
          </cell>
          <cell r="AD2032" t="str">
            <v>Ⅱ</v>
          </cell>
          <cell r="AE2032" t="str">
            <v>イ</v>
          </cell>
          <cell r="AF2032">
            <v>15</v>
          </cell>
          <cell r="AI2032" t="str">
            <v>伊万里湾</v>
          </cell>
          <cell r="AL2032" t="str">
            <v>志佐川</v>
          </cell>
          <cell r="AN2032">
            <v>2</v>
          </cell>
          <cell r="AO2032" t="str">
            <v>松浦市</v>
          </cell>
          <cell r="AQ2032" t="str">
            <v/>
          </cell>
          <cell r="AR2032" t="str">
            <v>オキシディションディッチ法</v>
          </cell>
          <cell r="AS2032" t="str">
            <v>4220801001</v>
          </cell>
          <cell r="AT2032" t="str">
            <v/>
          </cell>
          <cell r="AU2032" t="str">
            <v>10</v>
          </cell>
          <cell r="AV2032" t="str">
            <v>10</v>
          </cell>
          <cell r="AW2032">
            <v>0</v>
          </cell>
          <cell r="AX2032">
            <v>0</v>
          </cell>
          <cell r="AY2032">
            <v>0</v>
          </cell>
          <cell r="AZ2032">
            <v>0</v>
          </cell>
          <cell r="BA2032">
            <v>0</v>
          </cell>
          <cell r="BD2032" t="str">
            <v/>
          </cell>
          <cell r="BE2032">
            <v>1</v>
          </cell>
          <cell r="BG2032" t="str">
            <v>1100</v>
          </cell>
        </row>
        <row r="2033">
          <cell r="B2033" t="str">
            <v>G422100106100100</v>
          </cell>
          <cell r="C2033" t="str">
            <v>42.長崎県</v>
          </cell>
          <cell r="D2033" t="str">
            <v>210</v>
          </cell>
          <cell r="E2033" t="str">
            <v>壱岐市</v>
          </cell>
          <cell r="F2033" t="str">
            <v>01</v>
          </cell>
          <cell r="G2033" t="str">
            <v>公共 単独</v>
          </cell>
          <cell r="H2033" t="str">
            <v>公共下水道</v>
          </cell>
          <cell r="I2033" t="str">
            <v>単独</v>
          </cell>
          <cell r="J2033" t="str">
            <v>001</v>
          </cell>
          <cell r="K2033" t="str">
            <v>北部水処理センター</v>
          </cell>
          <cell r="M2033" t="str">
            <v>1</v>
          </cell>
          <cell r="N2033" t="str">
            <v>1</v>
          </cell>
          <cell r="P2033" t="str">
            <v>1</v>
          </cell>
          <cell r="Q2033">
            <v>35977</v>
          </cell>
          <cell r="R2033" t="str">
            <v>平成</v>
          </cell>
          <cell r="S2033">
            <v>10</v>
          </cell>
          <cell r="T2033">
            <v>7</v>
          </cell>
          <cell r="AB2033">
            <v>4935</v>
          </cell>
          <cell r="AC2033" t="str">
            <v>設定なし</v>
          </cell>
          <cell r="AF2033">
            <v>15</v>
          </cell>
          <cell r="AI2033" t="str">
            <v>亀川雨水渠</v>
          </cell>
          <cell r="AQ2033" t="str">
            <v/>
          </cell>
          <cell r="AR2033" t="str">
            <v>土壌被覆型礫間接触法</v>
          </cell>
          <cell r="AS2033" t="str">
            <v>4221001001</v>
          </cell>
          <cell r="AT2033" t="str">
            <v/>
          </cell>
          <cell r="AU2033" t="str">
            <v>10</v>
          </cell>
          <cell r="AV2033" t="str">
            <v>10</v>
          </cell>
          <cell r="AW2033">
            <v>1</v>
          </cell>
          <cell r="AX2033">
            <v>0</v>
          </cell>
          <cell r="AY2033">
            <v>0</v>
          </cell>
          <cell r="AZ2033">
            <v>0</v>
          </cell>
          <cell r="BA2033">
            <v>0</v>
          </cell>
          <cell r="BD2033" t="str">
            <v/>
          </cell>
          <cell r="BE2033">
            <v>1</v>
          </cell>
          <cell r="BG2033" t="str">
            <v>1101</v>
          </cell>
        </row>
        <row r="2034">
          <cell r="B2034" t="str">
            <v>G422100106100200</v>
          </cell>
          <cell r="C2034" t="str">
            <v>42.長崎県</v>
          </cell>
          <cell r="D2034" t="str">
            <v>210</v>
          </cell>
          <cell r="E2034" t="str">
            <v>壱岐市</v>
          </cell>
          <cell r="F2034" t="str">
            <v>01</v>
          </cell>
          <cell r="G2034" t="str">
            <v>公共 単独</v>
          </cell>
          <cell r="H2034" t="str">
            <v>公共下水道</v>
          </cell>
          <cell r="I2034" t="str">
            <v>単独</v>
          </cell>
          <cell r="J2034" t="str">
            <v>002</v>
          </cell>
          <cell r="K2034" t="str">
            <v>中央水処理センター</v>
          </cell>
          <cell r="M2034" t="str">
            <v>1</v>
          </cell>
          <cell r="N2034" t="str">
            <v>1</v>
          </cell>
          <cell r="Q2034">
            <v>38838</v>
          </cell>
          <cell r="R2034" t="str">
            <v>平成</v>
          </cell>
          <cell r="S2034">
            <v>18</v>
          </cell>
          <cell r="T2034">
            <v>5</v>
          </cell>
          <cell r="AB2034">
            <v>7430</v>
          </cell>
          <cell r="AC2034" t="str">
            <v>郷ノ浦港</v>
          </cell>
          <cell r="AD2034" t="str">
            <v>Ａ</v>
          </cell>
          <cell r="AE2034" t="str">
            <v>イ</v>
          </cell>
          <cell r="AF2034">
            <v>15</v>
          </cell>
          <cell r="AI2034" t="str">
            <v>郷ノ浦港</v>
          </cell>
          <cell r="AQ2034" t="str">
            <v/>
          </cell>
          <cell r="AR2034" t="str">
            <v>土壌被覆型礫間接触法</v>
          </cell>
          <cell r="AS2034" t="str">
            <v>4221001002</v>
          </cell>
          <cell r="AT2034" t="str">
            <v/>
          </cell>
          <cell r="AU2034" t="str">
            <v>10</v>
          </cell>
          <cell r="AV2034" t="str">
            <v>10</v>
          </cell>
          <cell r="AW2034">
            <v>0</v>
          </cell>
          <cell r="AX2034">
            <v>0</v>
          </cell>
          <cell r="AY2034">
            <v>0</v>
          </cell>
          <cell r="AZ2034">
            <v>0</v>
          </cell>
          <cell r="BA2034">
            <v>0</v>
          </cell>
          <cell r="BD2034" t="str">
            <v/>
          </cell>
          <cell r="BE2034">
            <v>1</v>
          </cell>
          <cell r="BG2034" t="str">
            <v>1100</v>
          </cell>
        </row>
        <row r="2035">
          <cell r="B2035" t="str">
            <v>G422120206100100</v>
          </cell>
          <cell r="C2035" t="str">
            <v>42.長崎県</v>
          </cell>
          <cell r="D2035" t="str">
            <v>212</v>
          </cell>
          <cell r="E2035" t="str">
            <v>西海市</v>
          </cell>
          <cell r="F2035" t="str">
            <v>02</v>
          </cell>
          <cell r="G2035" t="str">
            <v>特環 単独</v>
          </cell>
          <cell r="H2035" t="str">
            <v>特定環境保全公共下水道</v>
          </cell>
          <cell r="I2035" t="str">
            <v>単独</v>
          </cell>
          <cell r="J2035" t="str">
            <v>001</v>
          </cell>
          <cell r="K2035" t="str">
            <v>大串浄化センター</v>
          </cell>
          <cell r="M2035" t="str">
            <v>1</v>
          </cell>
          <cell r="Q2035">
            <v>39873</v>
          </cell>
          <cell r="R2035" t="str">
            <v>平成</v>
          </cell>
          <cell r="S2035">
            <v>21</v>
          </cell>
          <cell r="T2035">
            <v>3</v>
          </cell>
          <cell r="AB2035">
            <v>9300</v>
          </cell>
          <cell r="AC2035" t="str">
            <v>大村湾</v>
          </cell>
          <cell r="AD2035" t="str">
            <v>Ａ</v>
          </cell>
          <cell r="AE2035" t="str">
            <v>イ</v>
          </cell>
          <cell r="AF2035">
            <v>15</v>
          </cell>
          <cell r="AI2035" t="str">
            <v>大村湾</v>
          </cell>
          <cell r="AL2035" t="str">
            <v>菰立川水源</v>
          </cell>
          <cell r="AM2035">
            <v>0.2</v>
          </cell>
          <cell r="AO2035" t="str">
            <v>西海市</v>
          </cell>
          <cell r="AQ2035" t="str">
            <v/>
          </cell>
          <cell r="AR2035" t="str">
            <v>オキシディションディッチ法</v>
          </cell>
          <cell r="AS2035" t="str">
            <v>4221202001</v>
          </cell>
          <cell r="AT2035" t="str">
            <v/>
          </cell>
          <cell r="AU2035" t="str">
            <v>00</v>
          </cell>
          <cell r="AV2035" t="str">
            <v>00</v>
          </cell>
          <cell r="AW2035">
            <v>0</v>
          </cell>
          <cell r="AX2035">
            <v>0</v>
          </cell>
          <cell r="AY2035">
            <v>0</v>
          </cell>
          <cell r="AZ2035">
            <v>0</v>
          </cell>
          <cell r="BA2035">
            <v>0</v>
          </cell>
          <cell r="BD2035" t="str">
            <v/>
          </cell>
          <cell r="BE2035">
            <v>1</v>
          </cell>
          <cell r="BG2035" t="str">
            <v>1000</v>
          </cell>
        </row>
        <row r="2036">
          <cell r="B2036" t="str">
            <v>G422120206100200</v>
          </cell>
          <cell r="C2036" t="str">
            <v>42.長崎県</v>
          </cell>
          <cell r="D2036" t="str">
            <v>212</v>
          </cell>
          <cell r="E2036" t="str">
            <v>西海市</v>
          </cell>
          <cell r="F2036" t="str">
            <v>02</v>
          </cell>
          <cell r="G2036" t="str">
            <v>特環 単独</v>
          </cell>
          <cell r="H2036" t="str">
            <v>特定環境保全公共下水道</v>
          </cell>
          <cell r="I2036" t="str">
            <v>単独</v>
          </cell>
          <cell r="J2036" t="str">
            <v>002</v>
          </cell>
          <cell r="K2036" t="str">
            <v>瀬戸浄化センター</v>
          </cell>
          <cell r="M2036" t="str">
            <v>1</v>
          </cell>
          <cell r="N2036" t="str">
            <v>1</v>
          </cell>
          <cell r="Q2036">
            <v>39873</v>
          </cell>
          <cell r="R2036" t="str">
            <v>平成</v>
          </cell>
          <cell r="S2036">
            <v>21</v>
          </cell>
          <cell r="T2036">
            <v>3</v>
          </cell>
          <cell r="AB2036">
            <v>7000</v>
          </cell>
          <cell r="AC2036" t="str">
            <v>瀬戸港</v>
          </cell>
          <cell r="AD2036" t="str">
            <v>Ａ</v>
          </cell>
          <cell r="AE2036" t="str">
            <v>イ</v>
          </cell>
          <cell r="AF2036">
            <v>15</v>
          </cell>
          <cell r="AI2036" t="str">
            <v>瀬戸港</v>
          </cell>
          <cell r="AQ2036" t="str">
            <v/>
          </cell>
          <cell r="AR2036" t="str">
            <v>オキシディションディッチ法</v>
          </cell>
          <cell r="AS2036" t="str">
            <v>4221202002</v>
          </cell>
          <cell r="AT2036" t="str">
            <v/>
          </cell>
          <cell r="AU2036" t="str">
            <v>10</v>
          </cell>
          <cell r="AV2036" t="str">
            <v>10</v>
          </cell>
          <cell r="AW2036">
            <v>0</v>
          </cell>
          <cell r="AX2036">
            <v>0</v>
          </cell>
          <cell r="AY2036">
            <v>0</v>
          </cell>
          <cell r="AZ2036">
            <v>0</v>
          </cell>
          <cell r="BA2036">
            <v>0</v>
          </cell>
          <cell r="BD2036" t="str">
            <v/>
          </cell>
          <cell r="BE2036">
            <v>1</v>
          </cell>
          <cell r="BG2036" t="str">
            <v>1100</v>
          </cell>
        </row>
        <row r="2037">
          <cell r="B2037" t="str">
            <v>G422130106100100</v>
          </cell>
          <cell r="C2037" t="str">
            <v>42.長崎県</v>
          </cell>
          <cell r="D2037" t="str">
            <v>213</v>
          </cell>
          <cell r="E2037" t="str">
            <v>雲仙市</v>
          </cell>
          <cell r="F2037" t="str">
            <v>01</v>
          </cell>
          <cell r="G2037" t="str">
            <v>公共 単独</v>
          </cell>
          <cell r="H2037" t="str">
            <v>公共下水道</v>
          </cell>
          <cell r="I2037" t="str">
            <v>単独</v>
          </cell>
          <cell r="J2037" t="str">
            <v>001</v>
          </cell>
          <cell r="K2037" t="str">
            <v>千々石浄化センター</v>
          </cell>
          <cell r="M2037" t="str">
            <v>1</v>
          </cell>
          <cell r="N2037" t="str">
            <v>1</v>
          </cell>
          <cell r="Q2037">
            <v>37316</v>
          </cell>
          <cell r="R2037" t="str">
            <v>平成</v>
          </cell>
          <cell r="S2037">
            <v>14</v>
          </cell>
          <cell r="T2037">
            <v>3</v>
          </cell>
          <cell r="AB2037">
            <v>17650</v>
          </cell>
          <cell r="AC2037" t="str">
            <v>千々石川</v>
          </cell>
          <cell r="AD2037" t="str">
            <v>Ａ</v>
          </cell>
          <cell r="AE2037" t="str">
            <v>イ</v>
          </cell>
          <cell r="AF2037">
            <v>15</v>
          </cell>
          <cell r="AJ2037" t="str">
            <v>千々石川</v>
          </cell>
          <cell r="AQ2037" t="str">
            <v/>
          </cell>
          <cell r="AR2037" t="str">
            <v>オキシディションディッチ法</v>
          </cell>
          <cell r="AS2037" t="str">
            <v>4221301001</v>
          </cell>
          <cell r="AT2037" t="str">
            <v/>
          </cell>
          <cell r="AU2037" t="str">
            <v>10</v>
          </cell>
          <cell r="AV2037" t="str">
            <v>10</v>
          </cell>
          <cell r="AW2037">
            <v>0</v>
          </cell>
          <cell r="AX2037">
            <v>0</v>
          </cell>
          <cell r="AY2037">
            <v>0</v>
          </cell>
          <cell r="AZ2037">
            <v>0</v>
          </cell>
          <cell r="BA2037">
            <v>0</v>
          </cell>
          <cell r="BD2037" t="str">
            <v/>
          </cell>
          <cell r="BE2037">
            <v>1</v>
          </cell>
          <cell r="BG2037" t="str">
            <v>1100</v>
          </cell>
        </row>
        <row r="2038">
          <cell r="B2038" t="str">
            <v>G422130206100200</v>
          </cell>
          <cell r="C2038" t="str">
            <v>42.長崎県</v>
          </cell>
          <cell r="D2038" t="str">
            <v>213</v>
          </cell>
          <cell r="E2038" t="str">
            <v>雲仙市</v>
          </cell>
          <cell r="F2038" t="str">
            <v>02</v>
          </cell>
          <cell r="G2038" t="str">
            <v>特環 単独</v>
          </cell>
          <cell r="H2038" t="str">
            <v>特定環境保全公共下水道</v>
          </cell>
          <cell r="I2038" t="str">
            <v>単独</v>
          </cell>
          <cell r="J2038" t="str">
            <v>002</v>
          </cell>
          <cell r="K2038" t="str">
            <v>雲仙浄化センター</v>
          </cell>
          <cell r="M2038" t="str">
            <v>1</v>
          </cell>
          <cell r="N2038" t="str">
            <v>1</v>
          </cell>
          <cell r="Q2038">
            <v>31472</v>
          </cell>
          <cell r="R2038" t="str">
            <v>昭和</v>
          </cell>
          <cell r="S2038">
            <v>61</v>
          </cell>
          <cell r="T2038">
            <v>3</v>
          </cell>
          <cell r="AB2038">
            <v>12000</v>
          </cell>
          <cell r="AC2038" t="str">
            <v>千々石川</v>
          </cell>
          <cell r="AD2038" t="str">
            <v>Ａ</v>
          </cell>
          <cell r="AE2038" t="str">
            <v>イ</v>
          </cell>
          <cell r="AF2038">
            <v>15</v>
          </cell>
          <cell r="AJ2038" t="str">
            <v>千々石川</v>
          </cell>
          <cell r="AL2038" t="str">
            <v>雲仙浄水場</v>
          </cell>
          <cell r="AM2038">
            <v>1</v>
          </cell>
          <cell r="AO2038" t="str">
            <v>雲仙市</v>
          </cell>
          <cell r="AQ2038" t="str">
            <v/>
          </cell>
          <cell r="AR2038" t="str">
            <v>標準活性汚泥法</v>
          </cell>
          <cell r="AS2038" t="str">
            <v>4221302002</v>
          </cell>
          <cell r="AT2038" t="str">
            <v/>
          </cell>
          <cell r="AU2038" t="str">
            <v>10</v>
          </cell>
          <cell r="AV2038" t="str">
            <v>10</v>
          </cell>
          <cell r="AW2038">
            <v>0</v>
          </cell>
          <cell r="AX2038">
            <v>0</v>
          </cell>
          <cell r="AY2038">
            <v>0</v>
          </cell>
          <cell r="AZ2038">
            <v>0</v>
          </cell>
          <cell r="BA2038">
            <v>0</v>
          </cell>
          <cell r="BD2038" t="str">
            <v/>
          </cell>
          <cell r="BE2038">
            <v>1</v>
          </cell>
          <cell r="BG2038" t="str">
            <v>1100</v>
          </cell>
        </row>
        <row r="2039">
          <cell r="B2039" t="str">
            <v>G422130206100300</v>
          </cell>
          <cell r="C2039" t="str">
            <v>42.長崎県</v>
          </cell>
          <cell r="D2039" t="str">
            <v>213</v>
          </cell>
          <cell r="E2039" t="str">
            <v>雲仙市</v>
          </cell>
          <cell r="F2039" t="str">
            <v>02</v>
          </cell>
          <cell r="G2039" t="str">
            <v>特環 単独</v>
          </cell>
          <cell r="H2039" t="str">
            <v>特定環境保全公共下水道</v>
          </cell>
          <cell r="I2039" t="str">
            <v>単独</v>
          </cell>
          <cell r="J2039" t="str">
            <v>003</v>
          </cell>
          <cell r="K2039" t="str">
            <v>吾妻浄化センター</v>
          </cell>
          <cell r="M2039" t="str">
            <v>1</v>
          </cell>
          <cell r="N2039" t="str">
            <v>1</v>
          </cell>
          <cell r="Q2039">
            <v>38565</v>
          </cell>
          <cell r="R2039" t="str">
            <v>平成</v>
          </cell>
          <cell r="S2039">
            <v>17</v>
          </cell>
          <cell r="T2039">
            <v>8</v>
          </cell>
          <cell r="AB2039">
            <v>11604</v>
          </cell>
          <cell r="AC2039" t="str">
            <v>有明海（16）</v>
          </cell>
          <cell r="AD2039" t="str">
            <v>Ａ</v>
          </cell>
          <cell r="AE2039" t="str">
            <v>イ</v>
          </cell>
          <cell r="AF2039">
            <v>15</v>
          </cell>
          <cell r="AI2039" t="str">
            <v>有明海</v>
          </cell>
          <cell r="AQ2039" t="str">
            <v/>
          </cell>
          <cell r="AR2039" t="str">
            <v>土壌被覆型礫間接触法</v>
          </cell>
          <cell r="AS2039" t="str">
            <v>4221302003</v>
          </cell>
          <cell r="AT2039" t="str">
            <v/>
          </cell>
          <cell r="AU2039" t="str">
            <v>10</v>
          </cell>
          <cell r="AV2039" t="str">
            <v>10</v>
          </cell>
          <cell r="AW2039">
            <v>0</v>
          </cell>
          <cell r="AX2039">
            <v>0</v>
          </cell>
          <cell r="AY2039">
            <v>0</v>
          </cell>
          <cell r="AZ2039">
            <v>0</v>
          </cell>
          <cell r="BA2039">
            <v>0</v>
          </cell>
          <cell r="BD2039" t="str">
            <v/>
          </cell>
          <cell r="BE2039">
            <v>1</v>
          </cell>
          <cell r="BG2039" t="str">
            <v>1100</v>
          </cell>
        </row>
        <row r="2040">
          <cell r="B2040" t="str">
            <v>G422130206100400</v>
          </cell>
          <cell r="C2040" t="str">
            <v>42.長崎県</v>
          </cell>
          <cell r="D2040" t="str">
            <v>213</v>
          </cell>
          <cell r="E2040" t="str">
            <v>雲仙市</v>
          </cell>
          <cell r="F2040" t="str">
            <v>02</v>
          </cell>
          <cell r="G2040" t="str">
            <v>特環 単独</v>
          </cell>
          <cell r="H2040" t="str">
            <v>特定環境保全公共下水道</v>
          </cell>
          <cell r="I2040" t="str">
            <v>単独</v>
          </cell>
          <cell r="J2040" t="str">
            <v>004</v>
          </cell>
          <cell r="K2040" t="str">
            <v>瑞穂浄化センター</v>
          </cell>
          <cell r="M2040" t="str">
            <v>1</v>
          </cell>
          <cell r="Q2040">
            <v>39142</v>
          </cell>
          <cell r="R2040" t="str">
            <v>平成</v>
          </cell>
          <cell r="S2040">
            <v>19</v>
          </cell>
          <cell r="T2040">
            <v>3</v>
          </cell>
          <cell r="AB2040">
            <v>8665</v>
          </cell>
          <cell r="AC2040" t="str">
            <v>有明海（16）</v>
          </cell>
          <cell r="AD2040" t="str">
            <v>Ａ</v>
          </cell>
          <cell r="AE2040" t="str">
            <v>イ</v>
          </cell>
          <cell r="AF2040">
            <v>15</v>
          </cell>
          <cell r="AI2040" t="str">
            <v>有明海</v>
          </cell>
          <cell r="AQ2040" t="str">
            <v/>
          </cell>
          <cell r="AR2040" t="str">
            <v>嫌気好気ろ床法</v>
          </cell>
          <cell r="AS2040" t="str">
            <v>4221302004</v>
          </cell>
          <cell r="AT2040">
            <v>1</v>
          </cell>
          <cell r="AU2040" t="str">
            <v>00</v>
          </cell>
          <cell r="AV2040" t="str">
            <v>00</v>
          </cell>
          <cell r="AW2040">
            <v>0</v>
          </cell>
          <cell r="AX2040">
            <v>0</v>
          </cell>
          <cell r="AY2040">
            <v>0</v>
          </cell>
          <cell r="AZ2040">
            <v>0</v>
          </cell>
          <cell r="BA2040">
            <v>0</v>
          </cell>
          <cell r="BD2040" t="str">
            <v/>
          </cell>
          <cell r="BE2040">
            <v>1</v>
          </cell>
          <cell r="BG2040" t="str">
            <v>1000</v>
          </cell>
        </row>
        <row r="2041">
          <cell r="B2041" t="str">
            <v>G422140106100100</v>
          </cell>
          <cell r="C2041" t="str">
            <v>42.長崎県</v>
          </cell>
          <cell r="D2041" t="str">
            <v>214</v>
          </cell>
          <cell r="E2041" t="str">
            <v>南島原市</v>
          </cell>
          <cell r="F2041" t="str">
            <v>01</v>
          </cell>
          <cell r="G2041" t="str">
            <v>公共 単独</v>
          </cell>
          <cell r="H2041" t="str">
            <v>公共下水道</v>
          </cell>
          <cell r="I2041" t="str">
            <v>単独</v>
          </cell>
          <cell r="J2041" t="str">
            <v>001</v>
          </cell>
          <cell r="K2041" t="str">
            <v>くちのつ水処理センター</v>
          </cell>
          <cell r="M2041" t="str">
            <v>1</v>
          </cell>
          <cell r="N2041" t="str">
            <v>1</v>
          </cell>
          <cell r="Q2041">
            <v>38108</v>
          </cell>
          <cell r="R2041" t="str">
            <v>平成</v>
          </cell>
          <cell r="S2041">
            <v>16</v>
          </cell>
          <cell r="T2041">
            <v>5</v>
          </cell>
          <cell r="AB2041">
            <v>13700</v>
          </cell>
          <cell r="AC2041" t="str">
            <v>有明海</v>
          </cell>
          <cell r="AD2041" t="str">
            <v>Ｃ</v>
          </cell>
          <cell r="AE2041" t="str">
            <v>イ</v>
          </cell>
          <cell r="AF2041">
            <v>15</v>
          </cell>
          <cell r="AI2041" t="str">
            <v>有明海</v>
          </cell>
          <cell r="AQ2041" t="str">
            <v/>
          </cell>
          <cell r="AR2041" t="str">
            <v>嫌気好気ろ床法</v>
          </cell>
          <cell r="AS2041" t="str">
            <v>4221401001</v>
          </cell>
          <cell r="AT2041" t="str">
            <v/>
          </cell>
          <cell r="AU2041" t="str">
            <v>10</v>
          </cell>
          <cell r="AV2041" t="str">
            <v>10</v>
          </cell>
          <cell r="AW2041">
            <v>0</v>
          </cell>
          <cell r="AX2041">
            <v>0</v>
          </cell>
          <cell r="AY2041">
            <v>0</v>
          </cell>
          <cell r="AZ2041">
            <v>0</v>
          </cell>
          <cell r="BA2041">
            <v>0</v>
          </cell>
          <cell r="BD2041" t="str">
            <v/>
          </cell>
          <cell r="BE2041">
            <v>1</v>
          </cell>
          <cell r="BG2041" t="str">
            <v>1100</v>
          </cell>
        </row>
        <row r="2042">
          <cell r="B2042" t="str">
            <v>G422140206100200</v>
          </cell>
          <cell r="C2042" t="str">
            <v>42.長崎県</v>
          </cell>
          <cell r="D2042" t="str">
            <v>214</v>
          </cell>
          <cell r="E2042" t="str">
            <v>南島原市</v>
          </cell>
          <cell r="F2042" t="str">
            <v>02</v>
          </cell>
          <cell r="G2042" t="str">
            <v>特環 単独</v>
          </cell>
          <cell r="H2042" t="str">
            <v>特定環境保全公共下水道</v>
          </cell>
          <cell r="I2042" t="str">
            <v>単独</v>
          </cell>
          <cell r="J2042" t="str">
            <v>002</v>
          </cell>
          <cell r="K2042" t="str">
            <v>南有馬浄化センター</v>
          </cell>
          <cell r="M2042" t="str">
            <v>1</v>
          </cell>
          <cell r="N2042" t="str">
            <v>1</v>
          </cell>
          <cell r="Q2042">
            <v>39172</v>
          </cell>
          <cell r="R2042" t="str">
            <v>平成</v>
          </cell>
          <cell r="S2042">
            <v>19</v>
          </cell>
          <cell r="T2042">
            <v>3</v>
          </cell>
          <cell r="AB2042">
            <v>5688</v>
          </cell>
          <cell r="AC2042" t="str">
            <v>有明海</v>
          </cell>
          <cell r="AD2042" t="str">
            <v>ｃ</v>
          </cell>
          <cell r="AE2042" t="str">
            <v>イ</v>
          </cell>
          <cell r="AF2042">
            <v>15</v>
          </cell>
          <cell r="AI2042" t="str">
            <v>有明海</v>
          </cell>
          <cell r="AQ2042" t="str">
            <v/>
          </cell>
          <cell r="AR2042" t="str">
            <v>オキシディションディッチ法</v>
          </cell>
          <cell r="AS2042" t="str">
            <v>4221402002</v>
          </cell>
          <cell r="AT2042" t="str">
            <v/>
          </cell>
          <cell r="AU2042" t="str">
            <v>10</v>
          </cell>
          <cell r="AV2042" t="str">
            <v>10</v>
          </cell>
          <cell r="AW2042">
            <v>0</v>
          </cell>
          <cell r="AX2042">
            <v>0</v>
          </cell>
          <cell r="AY2042">
            <v>0</v>
          </cell>
          <cell r="AZ2042">
            <v>0</v>
          </cell>
          <cell r="BA2042">
            <v>0</v>
          </cell>
          <cell r="BD2042" t="str">
            <v/>
          </cell>
          <cell r="BE2042">
            <v>1</v>
          </cell>
          <cell r="BG2042" t="str">
            <v>1100</v>
          </cell>
        </row>
        <row r="2043">
          <cell r="B2043" t="str">
            <v>G423070106100100</v>
          </cell>
          <cell r="C2043" t="str">
            <v>42.長崎県</v>
          </cell>
          <cell r="D2043" t="str">
            <v>307</v>
          </cell>
          <cell r="E2043" t="str">
            <v>長与町</v>
          </cell>
          <cell r="F2043" t="str">
            <v>01</v>
          </cell>
          <cell r="G2043" t="str">
            <v>公共 単独</v>
          </cell>
          <cell r="H2043" t="str">
            <v>公共下水道</v>
          </cell>
          <cell r="I2043" t="str">
            <v>単独</v>
          </cell>
          <cell r="J2043" t="str">
            <v>001</v>
          </cell>
          <cell r="K2043" t="str">
            <v>長与浄化センター</v>
          </cell>
          <cell r="M2043" t="str">
            <v>1</v>
          </cell>
          <cell r="N2043" t="str">
            <v>1</v>
          </cell>
          <cell r="P2043" t="str">
            <v>1</v>
          </cell>
          <cell r="Q2043">
            <v>29677</v>
          </cell>
          <cell r="R2043" t="str">
            <v>昭和</v>
          </cell>
          <cell r="S2043">
            <v>56</v>
          </cell>
          <cell r="T2043">
            <v>4</v>
          </cell>
          <cell r="AB2043">
            <v>40200</v>
          </cell>
          <cell r="AC2043" t="str">
            <v>大村湾</v>
          </cell>
          <cell r="AD2043" t="str">
            <v>Ａ</v>
          </cell>
          <cell r="AE2043" t="str">
            <v>イ</v>
          </cell>
          <cell r="AF2043">
            <v>15</v>
          </cell>
          <cell r="AI2043" t="str">
            <v>大村湾</v>
          </cell>
          <cell r="AL2043" t="str">
            <v>第一浄水場取水口</v>
          </cell>
          <cell r="AM2043">
            <v>2</v>
          </cell>
          <cell r="AO2043" t="str">
            <v>長与町</v>
          </cell>
          <cell r="AQ2043" t="str">
            <v/>
          </cell>
          <cell r="AR2043" t="str">
            <v>標準活性汚泥法</v>
          </cell>
          <cell r="AS2043" t="str">
            <v>4230701001</v>
          </cell>
          <cell r="AT2043" t="str">
            <v/>
          </cell>
          <cell r="AU2043" t="str">
            <v>10</v>
          </cell>
          <cell r="AV2043" t="str">
            <v>10</v>
          </cell>
          <cell r="AW2043">
            <v>1</v>
          </cell>
          <cell r="AX2043">
            <v>0</v>
          </cell>
          <cell r="AY2043">
            <v>0</v>
          </cell>
          <cell r="AZ2043">
            <v>0</v>
          </cell>
          <cell r="BA2043">
            <v>0</v>
          </cell>
          <cell r="BD2043" t="str">
            <v/>
          </cell>
          <cell r="BE2043">
            <v>1</v>
          </cell>
          <cell r="BG2043" t="str">
            <v>1101</v>
          </cell>
        </row>
        <row r="2044">
          <cell r="B2044" t="str">
            <v>G423080106100100</v>
          </cell>
          <cell r="C2044" t="str">
            <v>42.長崎県</v>
          </cell>
          <cell r="D2044" t="str">
            <v>308</v>
          </cell>
          <cell r="E2044" t="str">
            <v>時津町</v>
          </cell>
          <cell r="F2044" t="str">
            <v>01</v>
          </cell>
          <cell r="G2044" t="str">
            <v>公共 単独</v>
          </cell>
          <cell r="H2044" t="str">
            <v>公共下水道</v>
          </cell>
          <cell r="I2044" t="str">
            <v>単独</v>
          </cell>
          <cell r="J2044" t="str">
            <v>001</v>
          </cell>
          <cell r="K2044" t="str">
            <v>時津浄化センター</v>
          </cell>
          <cell r="M2044" t="str">
            <v>1</v>
          </cell>
          <cell r="N2044" t="str">
            <v>1</v>
          </cell>
          <cell r="P2044" t="str">
            <v>1</v>
          </cell>
          <cell r="Q2044">
            <v>33327</v>
          </cell>
          <cell r="R2044" t="str">
            <v>平成</v>
          </cell>
          <cell r="S2044">
            <v>3</v>
          </cell>
          <cell r="T2044">
            <v>3</v>
          </cell>
          <cell r="AB2044">
            <v>33100</v>
          </cell>
          <cell r="AC2044" t="str">
            <v>大村湾</v>
          </cell>
          <cell r="AD2044" t="str">
            <v>Ａ</v>
          </cell>
          <cell r="AE2044" t="str">
            <v>イ</v>
          </cell>
          <cell r="AI2044" t="str">
            <v>岩本川</v>
          </cell>
          <cell r="AQ2044" t="str">
            <v/>
          </cell>
          <cell r="AR2044" t="str">
            <v>標準活性汚泥法</v>
          </cell>
          <cell r="AS2044" t="str">
            <v>4230801001</v>
          </cell>
          <cell r="AT2044" t="str">
            <v/>
          </cell>
          <cell r="AU2044" t="str">
            <v>10</v>
          </cell>
          <cell r="AV2044" t="str">
            <v>10</v>
          </cell>
          <cell r="AW2044">
            <v>1</v>
          </cell>
          <cell r="AX2044">
            <v>0</v>
          </cell>
          <cell r="AY2044">
            <v>0</v>
          </cell>
          <cell r="AZ2044">
            <v>0</v>
          </cell>
          <cell r="BA2044">
            <v>0</v>
          </cell>
          <cell r="BD2044" t="str">
            <v/>
          </cell>
          <cell r="BE2044">
            <v>1</v>
          </cell>
          <cell r="BG2044" t="str">
            <v>1101</v>
          </cell>
        </row>
        <row r="2045">
          <cell r="B2045" t="str">
            <v>G423210106100100</v>
          </cell>
          <cell r="C2045" t="str">
            <v>42.長崎県</v>
          </cell>
          <cell r="D2045" t="str">
            <v>321</v>
          </cell>
          <cell r="E2045" t="str">
            <v>東彼杵町</v>
          </cell>
          <cell r="F2045" t="str">
            <v>01</v>
          </cell>
          <cell r="G2045" t="str">
            <v>公共 単独</v>
          </cell>
          <cell r="H2045" t="str">
            <v>公共下水道</v>
          </cell>
          <cell r="I2045" t="str">
            <v>単独</v>
          </cell>
          <cell r="J2045" t="str">
            <v>001</v>
          </cell>
          <cell r="K2045" t="str">
            <v>東彼杵浄化センター</v>
          </cell>
          <cell r="M2045" t="str">
            <v>1</v>
          </cell>
          <cell r="N2045" t="str">
            <v>1</v>
          </cell>
          <cell r="Q2045">
            <v>38078</v>
          </cell>
          <cell r="R2045" t="str">
            <v>平成</v>
          </cell>
          <cell r="S2045">
            <v>16</v>
          </cell>
          <cell r="T2045">
            <v>4</v>
          </cell>
          <cell r="AB2045">
            <v>13493</v>
          </cell>
          <cell r="AC2045" t="str">
            <v>大村湾</v>
          </cell>
          <cell r="AD2045" t="str">
            <v>Ａ</v>
          </cell>
          <cell r="AE2045" t="str">
            <v>イ</v>
          </cell>
          <cell r="AF2045">
            <v>15</v>
          </cell>
          <cell r="AI2045" t="str">
            <v>島田川</v>
          </cell>
          <cell r="AQ2045" t="str">
            <v/>
          </cell>
          <cell r="AR2045" t="str">
            <v>オキシディションディッチ法</v>
          </cell>
          <cell r="AS2045" t="str">
            <v>4232101001</v>
          </cell>
          <cell r="AT2045" t="str">
            <v/>
          </cell>
          <cell r="AU2045" t="str">
            <v>10</v>
          </cell>
          <cell r="AV2045" t="str">
            <v>10</v>
          </cell>
          <cell r="AW2045">
            <v>0</v>
          </cell>
          <cell r="AX2045">
            <v>0</v>
          </cell>
          <cell r="AY2045">
            <v>0</v>
          </cell>
          <cell r="AZ2045">
            <v>0</v>
          </cell>
          <cell r="BA2045">
            <v>0</v>
          </cell>
          <cell r="BD2045" t="str">
            <v/>
          </cell>
          <cell r="BE2045">
            <v>1</v>
          </cell>
          <cell r="BG2045" t="str">
            <v>1100</v>
          </cell>
        </row>
        <row r="2046">
          <cell r="B2046" t="str">
            <v>G423220106100100</v>
          </cell>
          <cell r="C2046" t="str">
            <v>42.長崎県</v>
          </cell>
          <cell r="D2046" t="str">
            <v>322</v>
          </cell>
          <cell r="E2046" t="str">
            <v>川棚町</v>
          </cell>
          <cell r="F2046" t="str">
            <v>01</v>
          </cell>
          <cell r="G2046" t="str">
            <v>公共 単独</v>
          </cell>
          <cell r="H2046" t="str">
            <v>公共下水道</v>
          </cell>
          <cell r="I2046" t="str">
            <v>単独</v>
          </cell>
          <cell r="J2046" t="str">
            <v>001</v>
          </cell>
          <cell r="K2046" t="str">
            <v>川棚浄化センター</v>
          </cell>
          <cell r="M2046" t="str">
            <v>1</v>
          </cell>
          <cell r="N2046" t="str">
            <v>1</v>
          </cell>
          <cell r="Q2046">
            <v>35339</v>
          </cell>
          <cell r="R2046" t="str">
            <v>平成</v>
          </cell>
          <cell r="S2046">
            <v>8</v>
          </cell>
          <cell r="T2046">
            <v>10</v>
          </cell>
          <cell r="AB2046">
            <v>16098</v>
          </cell>
          <cell r="AC2046" t="str">
            <v>大村湾</v>
          </cell>
          <cell r="AD2046" t="str">
            <v>Ａ</v>
          </cell>
          <cell r="AE2046" t="str">
            <v>イ</v>
          </cell>
          <cell r="AF2046">
            <v>15</v>
          </cell>
          <cell r="AI2046" t="str">
            <v>長浜川</v>
          </cell>
          <cell r="AQ2046" t="str">
            <v/>
          </cell>
          <cell r="AR2046" t="str">
            <v>オキシディションディッチ法</v>
          </cell>
          <cell r="AS2046" t="str">
            <v>4232201001</v>
          </cell>
          <cell r="AT2046" t="str">
            <v/>
          </cell>
          <cell r="AU2046" t="str">
            <v>10</v>
          </cell>
          <cell r="AV2046" t="str">
            <v>10</v>
          </cell>
          <cell r="AW2046">
            <v>0</v>
          </cell>
          <cell r="AX2046">
            <v>0</v>
          </cell>
          <cell r="AY2046">
            <v>0</v>
          </cell>
          <cell r="AZ2046">
            <v>0</v>
          </cell>
          <cell r="BA2046">
            <v>0</v>
          </cell>
          <cell r="BD2046" t="str">
            <v/>
          </cell>
          <cell r="BE2046">
            <v>1</v>
          </cell>
          <cell r="BG2046" t="str">
            <v>1100</v>
          </cell>
        </row>
        <row r="2047">
          <cell r="B2047" t="str">
            <v>G423230106100100</v>
          </cell>
          <cell r="C2047" t="str">
            <v>42.長崎県</v>
          </cell>
          <cell r="D2047" t="str">
            <v>323</v>
          </cell>
          <cell r="E2047" t="str">
            <v>波佐見町</v>
          </cell>
          <cell r="F2047" t="str">
            <v>01</v>
          </cell>
          <cell r="G2047" t="str">
            <v>公共 単独</v>
          </cell>
          <cell r="H2047" t="str">
            <v>公共下水道</v>
          </cell>
          <cell r="I2047" t="str">
            <v>単独</v>
          </cell>
          <cell r="J2047" t="str">
            <v>001</v>
          </cell>
          <cell r="K2047" t="str">
            <v>波佐見中央浄化センター</v>
          </cell>
          <cell r="M2047" t="str">
            <v>1</v>
          </cell>
          <cell r="N2047" t="str">
            <v>1</v>
          </cell>
          <cell r="Q2047">
            <v>38077</v>
          </cell>
          <cell r="R2047" t="str">
            <v>平成</v>
          </cell>
          <cell r="S2047">
            <v>16</v>
          </cell>
          <cell r="T2047">
            <v>3</v>
          </cell>
          <cell r="AB2047">
            <v>21698</v>
          </cell>
          <cell r="AC2047" t="str">
            <v>川棚川</v>
          </cell>
          <cell r="AD2047" t="str">
            <v>Ａ</v>
          </cell>
          <cell r="AE2047" t="str">
            <v>イ</v>
          </cell>
          <cell r="AF2047">
            <v>10</v>
          </cell>
          <cell r="AI2047" t="str">
            <v>排水路</v>
          </cell>
          <cell r="AJ2047" t="str">
            <v>川棚川</v>
          </cell>
          <cell r="AL2047" t="str">
            <v>山道橋</v>
          </cell>
          <cell r="AN2047">
            <v>8.4</v>
          </cell>
          <cell r="AO2047" t="str">
            <v>川棚町･佐世保市</v>
          </cell>
          <cell r="AQ2047" t="str">
            <v/>
          </cell>
          <cell r="AR2047" t="str">
            <v>オキシディションディッチ法</v>
          </cell>
          <cell r="AS2047" t="str">
            <v>4232301001</v>
          </cell>
          <cell r="AT2047" t="str">
            <v/>
          </cell>
          <cell r="AU2047" t="str">
            <v>10</v>
          </cell>
          <cell r="AV2047" t="str">
            <v>10</v>
          </cell>
          <cell r="AW2047">
            <v>0</v>
          </cell>
          <cell r="AX2047">
            <v>0</v>
          </cell>
          <cell r="AY2047">
            <v>0</v>
          </cell>
          <cell r="AZ2047">
            <v>0</v>
          </cell>
          <cell r="BA2047">
            <v>0</v>
          </cell>
          <cell r="BD2047" t="str">
            <v/>
          </cell>
          <cell r="BE2047">
            <v>1</v>
          </cell>
          <cell r="BG2047" t="str">
            <v>1100</v>
          </cell>
        </row>
        <row r="2048">
          <cell r="B2048" t="str">
            <v>G423830206100100</v>
          </cell>
          <cell r="C2048" t="str">
            <v>42.長崎県</v>
          </cell>
          <cell r="D2048" t="str">
            <v>383</v>
          </cell>
          <cell r="E2048" t="str">
            <v>小値賀町</v>
          </cell>
          <cell r="F2048" t="str">
            <v>02</v>
          </cell>
          <cell r="G2048" t="str">
            <v>特環 単独</v>
          </cell>
          <cell r="H2048" t="str">
            <v>特定環境保全公共下水道</v>
          </cell>
          <cell r="I2048" t="str">
            <v>単独</v>
          </cell>
          <cell r="J2048" t="str">
            <v>001</v>
          </cell>
          <cell r="K2048" t="str">
            <v>笛吹浄化センター</v>
          </cell>
          <cell r="M2048" t="str">
            <v>1</v>
          </cell>
          <cell r="N2048" t="str">
            <v>1</v>
          </cell>
          <cell r="Q2048">
            <v>38078</v>
          </cell>
          <cell r="R2048" t="str">
            <v>平成</v>
          </cell>
          <cell r="S2048">
            <v>16</v>
          </cell>
          <cell r="T2048">
            <v>4</v>
          </cell>
          <cell r="AB2048">
            <v>6300</v>
          </cell>
          <cell r="AC2048" t="str">
            <v>五島海域</v>
          </cell>
          <cell r="AD2048" t="str">
            <v>Ａ</v>
          </cell>
          <cell r="AE2048" t="str">
            <v>イ</v>
          </cell>
          <cell r="AF2048">
            <v>15</v>
          </cell>
          <cell r="AI2048" t="str">
            <v>五島海域</v>
          </cell>
          <cell r="AQ2048" t="str">
            <v/>
          </cell>
          <cell r="AR2048" t="str">
            <v>オキシディションディッチ法</v>
          </cell>
          <cell r="AS2048" t="str">
            <v>4238302001</v>
          </cell>
          <cell r="AT2048" t="str">
            <v/>
          </cell>
          <cell r="AU2048" t="str">
            <v>10</v>
          </cell>
          <cell r="AV2048" t="str">
            <v>10</v>
          </cell>
          <cell r="AW2048">
            <v>0</v>
          </cell>
          <cell r="AX2048">
            <v>0</v>
          </cell>
          <cell r="AY2048">
            <v>0</v>
          </cell>
          <cell r="AZ2048">
            <v>0</v>
          </cell>
          <cell r="BA2048">
            <v>0</v>
          </cell>
          <cell r="BD2048" t="str">
            <v/>
          </cell>
          <cell r="BE2048">
            <v>1</v>
          </cell>
          <cell r="BG2048" t="str">
            <v>1100</v>
          </cell>
        </row>
        <row r="2049">
          <cell r="B2049" t="str">
            <v>G423910106100100</v>
          </cell>
          <cell r="C2049" t="str">
            <v>42.長崎県</v>
          </cell>
          <cell r="D2049" t="str">
            <v>391</v>
          </cell>
          <cell r="E2049" t="str">
            <v>佐々町</v>
          </cell>
          <cell r="F2049" t="str">
            <v>01</v>
          </cell>
          <cell r="G2049" t="str">
            <v>公共 単独</v>
          </cell>
          <cell r="H2049" t="str">
            <v>公共下水道</v>
          </cell>
          <cell r="I2049" t="str">
            <v>単独</v>
          </cell>
          <cell r="J2049" t="str">
            <v>001</v>
          </cell>
          <cell r="K2049" t="str">
            <v>佐々浄化管理センター</v>
          </cell>
          <cell r="M2049" t="str">
            <v>1</v>
          </cell>
          <cell r="N2049" t="str">
            <v>1</v>
          </cell>
          <cell r="Q2049">
            <v>35521</v>
          </cell>
          <cell r="R2049" t="str">
            <v>平成</v>
          </cell>
          <cell r="S2049">
            <v>9</v>
          </cell>
          <cell r="T2049">
            <v>4</v>
          </cell>
          <cell r="AB2049">
            <v>24000</v>
          </cell>
          <cell r="AC2049" t="str">
            <v>佐々港</v>
          </cell>
          <cell r="AD2049" t="str">
            <v>Ａ</v>
          </cell>
          <cell r="AE2049" t="str">
            <v>イ</v>
          </cell>
          <cell r="AF2049">
            <v>10</v>
          </cell>
          <cell r="AJ2049" t="str">
            <v>羽須和川・木場川</v>
          </cell>
          <cell r="AQ2049" t="str">
            <v/>
          </cell>
          <cell r="AR2049" t="str">
            <v>オキシディションディッチ法</v>
          </cell>
          <cell r="AS2049" t="str">
            <v>4239101001</v>
          </cell>
          <cell r="AT2049" t="str">
            <v/>
          </cell>
          <cell r="AU2049" t="str">
            <v>10</v>
          </cell>
          <cell r="AV2049" t="str">
            <v>10</v>
          </cell>
          <cell r="AW2049">
            <v>0</v>
          </cell>
          <cell r="AX2049">
            <v>0</v>
          </cell>
          <cell r="AY2049">
            <v>0</v>
          </cell>
          <cell r="AZ2049">
            <v>0</v>
          </cell>
          <cell r="BA2049">
            <v>0</v>
          </cell>
          <cell r="BD2049" t="str">
            <v/>
          </cell>
          <cell r="BE2049">
            <v>1</v>
          </cell>
          <cell r="BG2049" t="str">
            <v>1100</v>
          </cell>
        </row>
        <row r="2050">
          <cell r="B2050" t="str">
            <v>G430018106100100</v>
          </cell>
          <cell r="C2050" t="str">
            <v>43.熊本県</v>
          </cell>
          <cell r="D2050" t="str">
            <v>001</v>
          </cell>
          <cell r="E2050" t="str">
            <v>熊本北部流域</v>
          </cell>
          <cell r="F2050" t="str">
            <v>81</v>
          </cell>
          <cell r="G2050" t="str">
            <v>流域</v>
          </cell>
          <cell r="H2050" t="str">
            <v>流域下水道</v>
          </cell>
          <cell r="I2050" t="str">
            <v/>
          </cell>
          <cell r="J2050" t="str">
            <v>001</v>
          </cell>
          <cell r="K2050" t="str">
            <v>熊本北部浄化センター</v>
          </cell>
          <cell r="M2050" t="str">
            <v>1</v>
          </cell>
          <cell r="N2050" t="str">
            <v>1</v>
          </cell>
          <cell r="O2050" t="str">
            <v>1</v>
          </cell>
          <cell r="Q2050">
            <v>32568</v>
          </cell>
          <cell r="R2050" t="str">
            <v>平成</v>
          </cell>
          <cell r="S2050">
            <v>1</v>
          </cell>
          <cell r="T2050">
            <v>3</v>
          </cell>
          <cell r="AB2050">
            <v>135250</v>
          </cell>
          <cell r="AC2050" t="str">
            <v>坪井川中流</v>
          </cell>
          <cell r="AD2050" t="str">
            <v>Ｃ</v>
          </cell>
          <cell r="AE2050" t="str">
            <v>ハ</v>
          </cell>
          <cell r="AF2050">
            <v>10</v>
          </cell>
          <cell r="AJ2050" t="str">
            <v>坪井川</v>
          </cell>
          <cell r="AQ2050" t="str">
            <v/>
          </cell>
          <cell r="AR2050" t="str">
            <v>標準活性汚泥法</v>
          </cell>
          <cell r="AS2050" t="str">
            <v>4300181001</v>
          </cell>
          <cell r="AT2050" t="str">
            <v/>
          </cell>
          <cell r="AU2050" t="str">
            <v>11</v>
          </cell>
          <cell r="AV2050" t="str">
            <v>11</v>
          </cell>
          <cell r="AW2050">
            <v>0</v>
          </cell>
          <cell r="AX2050">
            <v>0</v>
          </cell>
          <cell r="AY2050">
            <v>0</v>
          </cell>
          <cell r="AZ2050">
            <v>0</v>
          </cell>
          <cell r="BA2050">
            <v>0</v>
          </cell>
          <cell r="BD2050" t="str">
            <v/>
          </cell>
          <cell r="BE2050">
            <v>1</v>
          </cell>
          <cell r="BG2050" t="str">
            <v>1110</v>
          </cell>
        </row>
        <row r="2051">
          <cell r="B2051" t="str">
            <v>G430028106100100</v>
          </cell>
          <cell r="C2051" t="str">
            <v>43.熊本県</v>
          </cell>
          <cell r="D2051" t="str">
            <v>002</v>
          </cell>
          <cell r="E2051" t="str">
            <v>球磨川上流流域</v>
          </cell>
          <cell r="F2051" t="str">
            <v>81</v>
          </cell>
          <cell r="G2051" t="str">
            <v>流域</v>
          </cell>
          <cell r="H2051" t="str">
            <v>流域下水道</v>
          </cell>
          <cell r="I2051" t="str">
            <v/>
          </cell>
          <cell r="J2051" t="str">
            <v>001</v>
          </cell>
          <cell r="K2051" t="str">
            <v>球磨川上流浄化センター</v>
          </cell>
          <cell r="M2051" t="str">
            <v>1</v>
          </cell>
          <cell r="N2051" t="str">
            <v>1</v>
          </cell>
          <cell r="Q2051">
            <v>36251</v>
          </cell>
          <cell r="R2051" t="str">
            <v>平成</v>
          </cell>
          <cell r="S2051">
            <v>11</v>
          </cell>
          <cell r="T2051">
            <v>4</v>
          </cell>
          <cell r="AB2051">
            <v>51300</v>
          </cell>
          <cell r="AC2051" t="str">
            <v>球磨川中流</v>
          </cell>
          <cell r="AD2051" t="str">
            <v>Ａ</v>
          </cell>
          <cell r="AE2051" t="str">
            <v>イ</v>
          </cell>
          <cell r="AF2051">
            <v>15</v>
          </cell>
          <cell r="AG2051">
            <v>20</v>
          </cell>
          <cell r="AH2051">
            <v>3</v>
          </cell>
          <cell r="AK2051" t="str">
            <v>球磨川</v>
          </cell>
          <cell r="AL2051" t="str">
            <v>遙拝堰</v>
          </cell>
          <cell r="AN2051">
            <v>61.4</v>
          </cell>
          <cell r="AO2051" t="str">
            <v>宇土市、宇城市、上天草市</v>
          </cell>
          <cell r="AQ2051" t="str">
            <v/>
          </cell>
          <cell r="AR2051" t="str">
            <v>オキシディションディッチ法</v>
          </cell>
          <cell r="AS2051" t="str">
            <v>4300281001</v>
          </cell>
          <cell r="AT2051" t="str">
            <v/>
          </cell>
          <cell r="AU2051" t="str">
            <v>10</v>
          </cell>
          <cell r="AV2051" t="str">
            <v>10</v>
          </cell>
          <cell r="AW2051">
            <v>0</v>
          </cell>
          <cell r="AX2051">
            <v>0</v>
          </cell>
          <cell r="AY2051">
            <v>0</v>
          </cell>
          <cell r="AZ2051">
            <v>0</v>
          </cell>
          <cell r="BA2051">
            <v>0</v>
          </cell>
          <cell r="BD2051" t="str">
            <v/>
          </cell>
          <cell r="BE2051">
            <v>1</v>
          </cell>
          <cell r="BG2051" t="str">
            <v>1100</v>
          </cell>
        </row>
        <row r="2052">
          <cell r="B2052" t="str">
            <v>G430038106100100</v>
          </cell>
          <cell r="C2052" t="str">
            <v>43.熊本県</v>
          </cell>
          <cell r="D2052" t="str">
            <v>003</v>
          </cell>
          <cell r="E2052" t="str">
            <v>八代北部流域</v>
          </cell>
          <cell r="F2052" t="str">
            <v>81</v>
          </cell>
          <cell r="G2052" t="str">
            <v>流域</v>
          </cell>
          <cell r="H2052" t="str">
            <v>流域下水道</v>
          </cell>
          <cell r="I2052" t="str">
            <v/>
          </cell>
          <cell r="J2052" t="str">
            <v>001</v>
          </cell>
          <cell r="K2052" t="str">
            <v>八代北部浄化センター</v>
          </cell>
          <cell r="M2052" t="str">
            <v>1</v>
          </cell>
          <cell r="N2052" t="str">
            <v>1</v>
          </cell>
          <cell r="Q2052">
            <v>37257</v>
          </cell>
          <cell r="R2052" t="str">
            <v>平成</v>
          </cell>
          <cell r="S2052">
            <v>14</v>
          </cell>
          <cell r="T2052">
            <v>1</v>
          </cell>
          <cell r="AB2052">
            <v>41800</v>
          </cell>
          <cell r="AC2052" t="str">
            <v>氷川</v>
          </cell>
          <cell r="AD2052" t="str">
            <v>Ａ</v>
          </cell>
          <cell r="AE2052" t="str">
            <v>イ</v>
          </cell>
          <cell r="AF2052">
            <v>15</v>
          </cell>
          <cell r="AJ2052" t="str">
            <v>氷川</v>
          </cell>
          <cell r="AL2052" t="str">
            <v>氷川ダム</v>
          </cell>
          <cell r="AM2052">
            <v>15</v>
          </cell>
          <cell r="AQ2052" t="str">
            <v/>
          </cell>
          <cell r="AR2052" t="str">
            <v>標準活性汚泥法</v>
          </cell>
          <cell r="AS2052" t="str">
            <v>4300381001</v>
          </cell>
          <cell r="AT2052" t="str">
            <v/>
          </cell>
          <cell r="AU2052" t="str">
            <v>10</v>
          </cell>
          <cell r="AV2052" t="str">
            <v>10</v>
          </cell>
          <cell r="AW2052">
            <v>0</v>
          </cell>
          <cell r="AX2052">
            <v>0</v>
          </cell>
          <cell r="AY2052">
            <v>0</v>
          </cell>
          <cell r="AZ2052">
            <v>0</v>
          </cell>
          <cell r="BA2052">
            <v>0</v>
          </cell>
          <cell r="BD2052" t="str">
            <v/>
          </cell>
          <cell r="BE2052">
            <v>1</v>
          </cell>
          <cell r="BG2052" t="str">
            <v>1100</v>
          </cell>
        </row>
        <row r="2053">
          <cell r="B2053" t="str">
            <v>G431000106100100</v>
          </cell>
          <cell r="C2053" t="str">
            <v>43.熊本県</v>
          </cell>
          <cell r="D2053" t="str">
            <v>100</v>
          </cell>
          <cell r="E2053" t="str">
            <v>熊本市</v>
          </cell>
          <cell r="F2053" t="str">
            <v>01</v>
          </cell>
          <cell r="G2053" t="str">
            <v>公共 単独</v>
          </cell>
          <cell r="H2053" t="str">
            <v>公共下水道</v>
          </cell>
          <cell r="I2053" t="str">
            <v>単独</v>
          </cell>
          <cell r="J2053" t="str">
            <v>001</v>
          </cell>
          <cell r="K2053" t="str">
            <v>中部浄化センター</v>
          </cell>
          <cell r="M2053" t="str">
            <v>1</v>
          </cell>
          <cell r="N2053" t="str">
            <v>1</v>
          </cell>
          <cell r="O2053" t="str">
            <v>1</v>
          </cell>
          <cell r="P2053" t="str">
            <v>1</v>
          </cell>
          <cell r="Q2053">
            <v>24838</v>
          </cell>
          <cell r="R2053" t="str">
            <v>昭和</v>
          </cell>
          <cell r="S2053">
            <v>43</v>
          </cell>
          <cell r="T2053">
            <v>1</v>
          </cell>
          <cell r="AB2053">
            <v>76100</v>
          </cell>
          <cell r="AC2053" t="str">
            <v>白川</v>
          </cell>
          <cell r="AD2053" t="str">
            <v>Ｂ</v>
          </cell>
          <cell r="AE2053" t="str">
            <v>イ</v>
          </cell>
          <cell r="AF2053">
            <v>15</v>
          </cell>
          <cell r="AK2053" t="str">
            <v>白川</v>
          </cell>
          <cell r="AQ2053" t="str">
            <v/>
          </cell>
          <cell r="AR2053" t="str">
            <v>標準活性汚泥法</v>
          </cell>
          <cell r="AS2053" t="str">
            <v>4310001001</v>
          </cell>
          <cell r="AT2053" t="str">
            <v/>
          </cell>
          <cell r="AU2053" t="str">
            <v>11</v>
          </cell>
          <cell r="AV2053" t="str">
            <v>11</v>
          </cell>
          <cell r="AW2053">
            <v>1</v>
          </cell>
          <cell r="AX2053">
            <v>0</v>
          </cell>
          <cell r="AY2053">
            <v>0</v>
          </cell>
          <cell r="AZ2053">
            <v>0</v>
          </cell>
          <cell r="BA2053">
            <v>0</v>
          </cell>
          <cell r="BD2053" t="str">
            <v/>
          </cell>
          <cell r="BE2053">
            <v>1</v>
          </cell>
          <cell r="BG2053" t="str">
            <v>1111</v>
          </cell>
        </row>
        <row r="2054">
          <cell r="B2054" t="str">
            <v>G431000106100200</v>
          </cell>
          <cell r="C2054" t="str">
            <v>43.熊本県</v>
          </cell>
          <cell r="D2054" t="str">
            <v>100</v>
          </cell>
          <cell r="E2054" t="str">
            <v>熊本市</v>
          </cell>
          <cell r="F2054" t="str">
            <v>01</v>
          </cell>
          <cell r="G2054" t="str">
            <v>公共 単独</v>
          </cell>
          <cell r="H2054" t="str">
            <v>公共下水道</v>
          </cell>
          <cell r="I2054" t="str">
            <v>単独</v>
          </cell>
          <cell r="J2054" t="str">
            <v>002</v>
          </cell>
          <cell r="K2054" t="str">
            <v>東部浄化センター</v>
          </cell>
          <cell r="M2054" t="str">
            <v>1</v>
          </cell>
          <cell r="N2054" t="str">
            <v>1</v>
          </cell>
          <cell r="Q2054">
            <v>26634</v>
          </cell>
          <cell r="R2054" t="str">
            <v>昭和</v>
          </cell>
          <cell r="S2054">
            <v>47</v>
          </cell>
          <cell r="T2054">
            <v>12</v>
          </cell>
          <cell r="AB2054">
            <v>120350</v>
          </cell>
          <cell r="AC2054" t="str">
            <v>加勢川</v>
          </cell>
          <cell r="AD2054" t="str">
            <v>Ａ</v>
          </cell>
          <cell r="AE2054" t="str">
            <v>ロ</v>
          </cell>
          <cell r="AF2054">
            <v>15</v>
          </cell>
          <cell r="AI2054" t="str">
            <v>木山川</v>
          </cell>
          <cell r="AK2054" t="str">
            <v>加勢川</v>
          </cell>
          <cell r="AQ2054" t="str">
            <v/>
          </cell>
          <cell r="AR2054" t="str">
            <v>標準活性汚泥法</v>
          </cell>
          <cell r="AS2054" t="str">
            <v>4310001002</v>
          </cell>
          <cell r="AT2054" t="str">
            <v/>
          </cell>
          <cell r="AU2054" t="str">
            <v>10</v>
          </cell>
          <cell r="AV2054" t="str">
            <v>10</v>
          </cell>
          <cell r="AW2054">
            <v>0</v>
          </cell>
          <cell r="AX2054">
            <v>0</v>
          </cell>
          <cell r="AY2054">
            <v>0</v>
          </cell>
          <cell r="AZ2054">
            <v>0</v>
          </cell>
          <cell r="BA2054">
            <v>0</v>
          </cell>
          <cell r="BD2054" t="str">
            <v/>
          </cell>
          <cell r="BE2054">
            <v>1</v>
          </cell>
          <cell r="BG2054" t="str">
            <v>1100</v>
          </cell>
        </row>
        <row r="2055">
          <cell r="B2055" t="str">
            <v>G431000106100300</v>
          </cell>
          <cell r="C2055" t="str">
            <v>43.熊本県</v>
          </cell>
          <cell r="D2055" t="str">
            <v>100</v>
          </cell>
          <cell r="E2055" t="str">
            <v>熊本市</v>
          </cell>
          <cell r="F2055" t="str">
            <v>01</v>
          </cell>
          <cell r="G2055" t="str">
            <v>公共 単独</v>
          </cell>
          <cell r="H2055" t="str">
            <v>公共下水道</v>
          </cell>
          <cell r="I2055" t="str">
            <v>単独</v>
          </cell>
          <cell r="J2055" t="str">
            <v>003</v>
          </cell>
          <cell r="K2055" t="str">
            <v>南部浄化センター</v>
          </cell>
          <cell r="M2055" t="str">
            <v>1</v>
          </cell>
          <cell r="N2055" t="str">
            <v>1</v>
          </cell>
          <cell r="Q2055">
            <v>31868</v>
          </cell>
          <cell r="R2055" t="str">
            <v>昭和</v>
          </cell>
          <cell r="S2055">
            <v>62</v>
          </cell>
          <cell r="T2055">
            <v>4</v>
          </cell>
          <cell r="AB2055">
            <v>111000</v>
          </cell>
          <cell r="AC2055" t="str">
            <v>緑川</v>
          </cell>
          <cell r="AD2055" t="str">
            <v>Ｂ</v>
          </cell>
          <cell r="AE2055" t="str">
            <v>ロ</v>
          </cell>
          <cell r="AF2055">
            <v>15</v>
          </cell>
          <cell r="AK2055" t="str">
            <v>加勢川</v>
          </cell>
          <cell r="AQ2055" t="str">
            <v/>
          </cell>
          <cell r="AR2055" t="str">
            <v>標準活性汚泥法</v>
          </cell>
          <cell r="AS2055" t="str">
            <v>4310001003</v>
          </cell>
          <cell r="AT2055" t="str">
            <v/>
          </cell>
          <cell r="AU2055" t="str">
            <v>10</v>
          </cell>
          <cell r="AV2055" t="str">
            <v>10</v>
          </cell>
          <cell r="AW2055">
            <v>0</v>
          </cell>
          <cell r="AX2055">
            <v>0</v>
          </cell>
          <cell r="AY2055">
            <v>0</v>
          </cell>
          <cell r="AZ2055">
            <v>0</v>
          </cell>
          <cell r="BA2055">
            <v>0</v>
          </cell>
          <cell r="BD2055" t="str">
            <v/>
          </cell>
          <cell r="BE2055">
            <v>1</v>
          </cell>
          <cell r="BG2055" t="str">
            <v>1100</v>
          </cell>
        </row>
        <row r="2056">
          <cell r="B2056" t="str">
            <v>G431000106100400</v>
          </cell>
          <cell r="C2056" t="str">
            <v>43.熊本県</v>
          </cell>
          <cell r="D2056" t="str">
            <v>100</v>
          </cell>
          <cell r="E2056" t="str">
            <v>熊本市</v>
          </cell>
          <cell r="F2056" t="str">
            <v>01</v>
          </cell>
          <cell r="G2056" t="str">
            <v>公共 単独</v>
          </cell>
          <cell r="H2056" t="str">
            <v>公共下水道</v>
          </cell>
          <cell r="I2056" t="str">
            <v>単独</v>
          </cell>
          <cell r="J2056" t="str">
            <v>004</v>
          </cell>
          <cell r="K2056" t="str">
            <v>西部浄化センター</v>
          </cell>
          <cell r="M2056" t="str">
            <v>1</v>
          </cell>
          <cell r="N2056" t="str">
            <v>1</v>
          </cell>
          <cell r="P2056" t="str">
            <v>1</v>
          </cell>
          <cell r="Q2056">
            <v>37316</v>
          </cell>
          <cell r="R2056" t="str">
            <v>平成</v>
          </cell>
          <cell r="S2056">
            <v>14</v>
          </cell>
          <cell r="T2056">
            <v>3</v>
          </cell>
          <cell r="AB2056">
            <v>120700</v>
          </cell>
          <cell r="AC2056" t="str">
            <v>有明海</v>
          </cell>
          <cell r="AD2056" t="str">
            <v>Ａ</v>
          </cell>
          <cell r="AE2056" t="str">
            <v>イ</v>
          </cell>
          <cell r="AF2056">
            <v>15</v>
          </cell>
          <cell r="AI2056" t="str">
            <v>有明海</v>
          </cell>
          <cell r="AQ2056" t="str">
            <v/>
          </cell>
          <cell r="AR2056" t="str">
            <v>標準活性汚泥法</v>
          </cell>
          <cell r="AS2056" t="str">
            <v>4310001004</v>
          </cell>
          <cell r="AT2056" t="str">
            <v/>
          </cell>
          <cell r="AU2056" t="str">
            <v>10</v>
          </cell>
          <cell r="AV2056" t="str">
            <v>10</v>
          </cell>
          <cell r="AW2056">
            <v>1</v>
          </cell>
          <cell r="AX2056">
            <v>0</v>
          </cell>
          <cell r="AY2056">
            <v>0</v>
          </cell>
          <cell r="AZ2056">
            <v>0</v>
          </cell>
          <cell r="BA2056">
            <v>0</v>
          </cell>
          <cell r="BD2056" t="str">
            <v/>
          </cell>
          <cell r="BE2056">
            <v>1</v>
          </cell>
          <cell r="BG2056" t="str">
            <v>1101</v>
          </cell>
        </row>
        <row r="2057">
          <cell r="B2057" t="str">
            <v>G431000106100500</v>
          </cell>
          <cell r="C2057" t="str">
            <v>43.熊本県</v>
          </cell>
          <cell r="D2057" t="str">
            <v>100</v>
          </cell>
          <cell r="E2057" t="str">
            <v>熊本市</v>
          </cell>
          <cell r="F2057" t="str">
            <v>01</v>
          </cell>
          <cell r="G2057" t="str">
            <v>公共 単独</v>
          </cell>
          <cell r="H2057" t="str">
            <v>公共下水道</v>
          </cell>
          <cell r="I2057" t="str">
            <v>単独</v>
          </cell>
          <cell r="J2057" t="str">
            <v>005</v>
          </cell>
          <cell r="K2057" t="str">
            <v>城南町浄化センター</v>
          </cell>
          <cell r="M2057" t="str">
            <v>1</v>
          </cell>
          <cell r="N2057" t="str">
            <v>1</v>
          </cell>
          <cell r="Q2057">
            <v>36130</v>
          </cell>
          <cell r="R2057" t="str">
            <v>平成</v>
          </cell>
          <cell r="S2057">
            <v>10</v>
          </cell>
          <cell r="T2057">
            <v>12</v>
          </cell>
          <cell r="AB2057">
            <v>29000</v>
          </cell>
          <cell r="AC2057" t="str">
            <v>緑川</v>
          </cell>
          <cell r="AD2057" t="str">
            <v>Ｂ</v>
          </cell>
          <cell r="AE2057" t="str">
            <v>ロ</v>
          </cell>
          <cell r="AF2057">
            <v>15</v>
          </cell>
          <cell r="AI2057" t="str">
            <v>浜戸川</v>
          </cell>
          <cell r="AK2057" t="str">
            <v>緑川</v>
          </cell>
          <cell r="AQ2057" t="str">
            <v/>
          </cell>
          <cell r="AR2057" t="str">
            <v>オキシディションディッチ法</v>
          </cell>
          <cell r="AS2057" t="str">
            <v>4310001005</v>
          </cell>
          <cell r="AT2057" t="str">
            <v/>
          </cell>
          <cell r="AU2057" t="str">
            <v>10</v>
          </cell>
          <cell r="AV2057" t="str">
            <v>10</v>
          </cell>
          <cell r="AW2057">
            <v>0</v>
          </cell>
          <cell r="AX2057">
            <v>0</v>
          </cell>
          <cell r="AY2057">
            <v>0</v>
          </cell>
          <cell r="AZ2057">
            <v>0</v>
          </cell>
          <cell r="BA2057">
            <v>0</v>
          </cell>
          <cell r="BD2057" t="str">
            <v/>
          </cell>
          <cell r="BE2057">
            <v>1</v>
          </cell>
          <cell r="BG2057" t="str">
            <v>1100</v>
          </cell>
        </row>
        <row r="2058">
          <cell r="B2058" t="str">
            <v>G432020106100100</v>
          </cell>
          <cell r="C2058" t="str">
            <v>43.熊本県</v>
          </cell>
          <cell r="D2058" t="str">
            <v>202</v>
          </cell>
          <cell r="E2058" t="str">
            <v>八代市</v>
          </cell>
          <cell r="F2058" t="str">
            <v>01</v>
          </cell>
          <cell r="G2058" t="str">
            <v>公共 単独</v>
          </cell>
          <cell r="H2058" t="str">
            <v>公共下水道</v>
          </cell>
          <cell r="I2058" t="str">
            <v>単独</v>
          </cell>
          <cell r="J2058" t="str">
            <v>001</v>
          </cell>
          <cell r="K2058" t="str">
            <v>八代市水処理センター</v>
          </cell>
          <cell r="M2058" t="str">
            <v>1</v>
          </cell>
          <cell r="N2058" t="str">
            <v>1</v>
          </cell>
          <cell r="P2058" t="str">
            <v>1</v>
          </cell>
          <cell r="Q2058">
            <v>31107</v>
          </cell>
          <cell r="R2058" t="str">
            <v>昭和</v>
          </cell>
          <cell r="S2058">
            <v>60</v>
          </cell>
          <cell r="T2058">
            <v>3</v>
          </cell>
          <cell r="AB2058">
            <v>89997</v>
          </cell>
          <cell r="AC2058" t="str">
            <v>八代地先海域（乙）</v>
          </cell>
          <cell r="AD2058" t="str">
            <v>Ｂ</v>
          </cell>
          <cell r="AE2058" t="str">
            <v>ロ</v>
          </cell>
          <cell r="AF2058">
            <v>15</v>
          </cell>
          <cell r="AI2058" t="str">
            <v>八代地先海域</v>
          </cell>
          <cell r="AQ2058" t="str">
            <v/>
          </cell>
          <cell r="AR2058" t="str">
            <v>標準活性汚泥法</v>
          </cell>
          <cell r="AS2058" t="str">
            <v>4320201001</v>
          </cell>
          <cell r="AT2058" t="str">
            <v/>
          </cell>
          <cell r="AU2058" t="str">
            <v>10</v>
          </cell>
          <cell r="AV2058" t="str">
            <v>10</v>
          </cell>
          <cell r="AW2058">
            <v>1</v>
          </cell>
          <cell r="AX2058">
            <v>0</v>
          </cell>
          <cell r="AY2058">
            <v>0</v>
          </cell>
          <cell r="AZ2058">
            <v>0</v>
          </cell>
          <cell r="BA2058">
            <v>0</v>
          </cell>
          <cell r="BD2058" t="str">
            <v/>
          </cell>
          <cell r="BE2058">
            <v>1</v>
          </cell>
          <cell r="BG2058" t="str">
            <v>1101</v>
          </cell>
        </row>
        <row r="2059">
          <cell r="B2059" t="str">
            <v>G432030106100100</v>
          </cell>
          <cell r="C2059" t="str">
            <v>43.熊本県</v>
          </cell>
          <cell r="D2059" t="str">
            <v>203</v>
          </cell>
          <cell r="E2059" t="str">
            <v>人吉市</v>
          </cell>
          <cell r="F2059" t="str">
            <v>01</v>
          </cell>
          <cell r="G2059" t="str">
            <v>公共 単独</v>
          </cell>
          <cell r="H2059" t="str">
            <v>公共下水道</v>
          </cell>
          <cell r="I2059" t="str">
            <v>単独</v>
          </cell>
          <cell r="J2059" t="str">
            <v>001</v>
          </cell>
          <cell r="K2059" t="str">
            <v>人吉浄水苑</v>
          </cell>
          <cell r="M2059" t="str">
            <v>1</v>
          </cell>
          <cell r="N2059" t="str">
            <v>1</v>
          </cell>
          <cell r="Q2059">
            <v>30011</v>
          </cell>
          <cell r="R2059" t="str">
            <v>昭和</v>
          </cell>
          <cell r="S2059">
            <v>57</v>
          </cell>
          <cell r="T2059">
            <v>3</v>
          </cell>
          <cell r="AB2059">
            <v>42000</v>
          </cell>
          <cell r="AC2059" t="str">
            <v>球磨川中流</v>
          </cell>
          <cell r="AD2059" t="str">
            <v>Ａ</v>
          </cell>
          <cell r="AE2059" t="str">
            <v>イ</v>
          </cell>
          <cell r="AF2059">
            <v>15</v>
          </cell>
          <cell r="AK2059" t="str">
            <v>球磨川</v>
          </cell>
          <cell r="AL2059" t="str">
            <v>球磨川ようはい堰第二取水口</v>
          </cell>
          <cell r="AN2059">
            <v>31.3</v>
          </cell>
          <cell r="AO2059" t="str">
            <v>宇土市、上天草市、宇城市、倉岳町</v>
          </cell>
          <cell r="AQ2059" t="str">
            <v/>
          </cell>
          <cell r="AR2059" t="str">
            <v>標準活性汚泥法</v>
          </cell>
          <cell r="AS2059" t="str">
            <v>4320301001</v>
          </cell>
          <cell r="AT2059" t="str">
            <v/>
          </cell>
          <cell r="AU2059" t="str">
            <v>10</v>
          </cell>
          <cell r="AV2059" t="str">
            <v>10</v>
          </cell>
          <cell r="AW2059">
            <v>0</v>
          </cell>
          <cell r="AX2059">
            <v>0</v>
          </cell>
          <cell r="AY2059">
            <v>0</v>
          </cell>
          <cell r="AZ2059">
            <v>0</v>
          </cell>
          <cell r="BA2059">
            <v>0</v>
          </cell>
          <cell r="BD2059" t="str">
            <v/>
          </cell>
          <cell r="BE2059">
            <v>1</v>
          </cell>
          <cell r="BG2059" t="str">
            <v>1100</v>
          </cell>
        </row>
        <row r="2060">
          <cell r="B2060" t="str">
            <v>G432040106100100</v>
          </cell>
          <cell r="C2060" t="str">
            <v>43.熊本県</v>
          </cell>
          <cell r="D2060" t="str">
            <v>204</v>
          </cell>
          <cell r="E2060" t="str">
            <v>荒尾市</v>
          </cell>
          <cell r="F2060" t="str">
            <v>01</v>
          </cell>
          <cell r="G2060" t="str">
            <v>公共 単独</v>
          </cell>
          <cell r="H2060" t="str">
            <v>公共下水道</v>
          </cell>
          <cell r="I2060" t="str">
            <v>単独</v>
          </cell>
          <cell r="J2060" t="str">
            <v>001</v>
          </cell>
          <cell r="K2060" t="str">
            <v>桜山下水処理場</v>
          </cell>
          <cell r="M2060" t="str">
            <v>1</v>
          </cell>
          <cell r="N2060" t="str">
            <v>1</v>
          </cell>
          <cell r="Q2060">
            <v>26755</v>
          </cell>
          <cell r="R2060" t="str">
            <v>昭和</v>
          </cell>
          <cell r="S2060">
            <v>48</v>
          </cell>
          <cell r="T2060">
            <v>4</v>
          </cell>
          <cell r="AB2060">
            <v>2157</v>
          </cell>
          <cell r="AC2060" t="str">
            <v>有明海（１６）</v>
          </cell>
          <cell r="AD2060" t="str">
            <v>Ａ</v>
          </cell>
          <cell r="AE2060" t="str">
            <v>イ</v>
          </cell>
          <cell r="AF2060">
            <v>15</v>
          </cell>
          <cell r="AI2060" t="str">
            <v>有明海</v>
          </cell>
          <cell r="AQ2060" t="str">
            <v/>
          </cell>
          <cell r="AR2060" t="str">
            <v>標準活性汚泥法</v>
          </cell>
          <cell r="AS2060" t="str">
            <v>4320401001</v>
          </cell>
          <cell r="AT2060" t="str">
            <v/>
          </cell>
          <cell r="AU2060" t="str">
            <v>10</v>
          </cell>
          <cell r="AV2060" t="str">
            <v>10</v>
          </cell>
          <cell r="AW2060">
            <v>0</v>
          </cell>
          <cell r="AX2060">
            <v>0</v>
          </cell>
          <cell r="AY2060">
            <v>0</v>
          </cell>
          <cell r="AZ2060">
            <v>0</v>
          </cell>
          <cell r="BA2060">
            <v>0</v>
          </cell>
          <cell r="BD2060" t="str">
            <v/>
          </cell>
          <cell r="BE2060">
            <v>1</v>
          </cell>
          <cell r="BG2060" t="str">
            <v>1100</v>
          </cell>
        </row>
        <row r="2061">
          <cell r="B2061" t="str">
            <v>G432040106100200</v>
          </cell>
          <cell r="C2061" t="str">
            <v>43.熊本県</v>
          </cell>
          <cell r="D2061" t="str">
            <v>204</v>
          </cell>
          <cell r="E2061" t="str">
            <v>荒尾市</v>
          </cell>
          <cell r="F2061" t="str">
            <v>01</v>
          </cell>
          <cell r="G2061" t="str">
            <v>公共 単独</v>
          </cell>
          <cell r="H2061" t="str">
            <v>公共下水道</v>
          </cell>
          <cell r="I2061" t="str">
            <v>単独</v>
          </cell>
          <cell r="J2061" t="str">
            <v>002</v>
          </cell>
          <cell r="K2061" t="str">
            <v>荒尾市浄水センター</v>
          </cell>
          <cell r="M2061" t="str">
            <v>1</v>
          </cell>
          <cell r="N2061" t="str">
            <v>1</v>
          </cell>
          <cell r="P2061" t="str">
            <v>1</v>
          </cell>
          <cell r="Q2061">
            <v>30376</v>
          </cell>
          <cell r="R2061" t="str">
            <v>昭和</v>
          </cell>
          <cell r="S2061">
            <v>58</v>
          </cell>
          <cell r="T2061">
            <v>3</v>
          </cell>
          <cell r="AB2061">
            <v>56640</v>
          </cell>
          <cell r="AC2061" t="str">
            <v>有明海（４）</v>
          </cell>
          <cell r="AD2061" t="str">
            <v>Ｂ</v>
          </cell>
          <cell r="AE2061" t="str">
            <v>イ</v>
          </cell>
          <cell r="AF2061">
            <v>15</v>
          </cell>
          <cell r="AI2061" t="str">
            <v>有明海</v>
          </cell>
          <cell r="AQ2061" t="str">
            <v/>
          </cell>
          <cell r="AR2061" t="str">
            <v>標準活性汚泥法</v>
          </cell>
          <cell r="AS2061" t="str">
            <v>4320401002</v>
          </cell>
          <cell r="AT2061" t="str">
            <v/>
          </cell>
          <cell r="AU2061" t="str">
            <v>10</v>
          </cell>
          <cell r="AV2061" t="str">
            <v>10</v>
          </cell>
          <cell r="AW2061">
            <v>1</v>
          </cell>
          <cell r="AX2061">
            <v>0</v>
          </cell>
          <cell r="AY2061">
            <v>0</v>
          </cell>
          <cell r="AZ2061">
            <v>0</v>
          </cell>
          <cell r="BA2061">
            <v>0</v>
          </cell>
          <cell r="BD2061" t="str">
            <v/>
          </cell>
          <cell r="BE2061">
            <v>1</v>
          </cell>
          <cell r="BG2061" t="str">
            <v>1101</v>
          </cell>
        </row>
        <row r="2062">
          <cell r="B2062" t="str">
            <v>G432040106100300</v>
          </cell>
          <cell r="C2062" t="str">
            <v>43.熊本県</v>
          </cell>
          <cell r="D2062" t="str">
            <v>204</v>
          </cell>
          <cell r="E2062" t="str">
            <v>荒尾市</v>
          </cell>
          <cell r="F2062" t="str">
            <v>01</v>
          </cell>
          <cell r="G2062" t="str">
            <v>公共 単独</v>
          </cell>
          <cell r="H2062" t="str">
            <v>公共下水道</v>
          </cell>
          <cell r="I2062" t="str">
            <v>単独</v>
          </cell>
          <cell r="J2062" t="str">
            <v>003</v>
          </cell>
          <cell r="K2062" t="str">
            <v>八幡台下水処理場</v>
          </cell>
          <cell r="M2062" t="str">
            <v>1</v>
          </cell>
          <cell r="N2062" t="str">
            <v>1</v>
          </cell>
          <cell r="Q2062">
            <v>34578</v>
          </cell>
          <cell r="R2062" t="str">
            <v>平成</v>
          </cell>
          <cell r="S2062">
            <v>6</v>
          </cell>
          <cell r="T2062">
            <v>9</v>
          </cell>
          <cell r="AB2062">
            <v>2583</v>
          </cell>
          <cell r="AC2062" t="str">
            <v>菜切川</v>
          </cell>
          <cell r="AD2062" t="str">
            <v>Ｂ</v>
          </cell>
          <cell r="AE2062" t="str">
            <v>イ</v>
          </cell>
          <cell r="AF2062">
            <v>15</v>
          </cell>
          <cell r="AG2062">
            <v>18</v>
          </cell>
          <cell r="AH2062">
            <v>3</v>
          </cell>
          <cell r="AJ2062" t="str">
            <v>菜切川</v>
          </cell>
          <cell r="AQ2062" t="str">
            <v/>
          </cell>
          <cell r="AR2062" t="str">
            <v>標準活性汚泥法</v>
          </cell>
          <cell r="AS2062" t="str">
            <v>4320401003</v>
          </cell>
          <cell r="AT2062" t="str">
            <v/>
          </cell>
          <cell r="AU2062" t="str">
            <v>10</v>
          </cell>
          <cell r="AV2062" t="str">
            <v>10</v>
          </cell>
          <cell r="AW2062">
            <v>0</v>
          </cell>
          <cell r="AX2062">
            <v>0</v>
          </cell>
          <cell r="AY2062">
            <v>0</v>
          </cell>
          <cell r="AZ2062">
            <v>0</v>
          </cell>
          <cell r="BA2062">
            <v>0</v>
          </cell>
          <cell r="BD2062" t="str">
            <v/>
          </cell>
          <cell r="BE2062">
            <v>1</v>
          </cell>
          <cell r="BG2062" t="str">
            <v>1100</v>
          </cell>
        </row>
        <row r="2063">
          <cell r="B2063" t="str">
            <v>G432050106100100</v>
          </cell>
          <cell r="C2063" t="str">
            <v>43.熊本県</v>
          </cell>
          <cell r="D2063" t="str">
            <v>205</v>
          </cell>
          <cell r="E2063" t="str">
            <v>水俣市</v>
          </cell>
          <cell r="F2063" t="str">
            <v>01</v>
          </cell>
          <cell r="G2063" t="str">
            <v>公共 単独</v>
          </cell>
          <cell r="H2063" t="str">
            <v>公共下水道</v>
          </cell>
          <cell r="I2063" t="str">
            <v>単独</v>
          </cell>
          <cell r="J2063" t="str">
            <v>001</v>
          </cell>
          <cell r="K2063" t="str">
            <v>水俣市浄化センター</v>
          </cell>
          <cell r="M2063" t="str">
            <v>1</v>
          </cell>
          <cell r="N2063" t="str">
            <v>1</v>
          </cell>
          <cell r="Q2063">
            <v>33664</v>
          </cell>
          <cell r="R2063" t="str">
            <v>平成</v>
          </cell>
          <cell r="S2063">
            <v>4</v>
          </cell>
          <cell r="T2063">
            <v>3</v>
          </cell>
          <cell r="AB2063">
            <v>51154</v>
          </cell>
          <cell r="AC2063" t="str">
            <v>八代海（７)</v>
          </cell>
          <cell r="AD2063" t="str">
            <v>Ａ</v>
          </cell>
          <cell r="AE2063" t="str">
            <v>イ</v>
          </cell>
          <cell r="AF2063">
            <v>15</v>
          </cell>
          <cell r="AJ2063" t="str">
            <v>水俣川</v>
          </cell>
          <cell r="AL2063" t="str">
            <v>水俣第一水源地</v>
          </cell>
          <cell r="AM2063">
            <v>2.8</v>
          </cell>
          <cell r="AO2063" t="str">
            <v>水俣市、津奈木町、天草市</v>
          </cell>
          <cell r="AQ2063" t="str">
            <v/>
          </cell>
          <cell r="AR2063" t="str">
            <v>標準活性汚泥法</v>
          </cell>
          <cell r="AS2063" t="str">
            <v>4320501001</v>
          </cell>
          <cell r="AT2063" t="str">
            <v/>
          </cell>
          <cell r="AU2063" t="str">
            <v>10</v>
          </cell>
          <cell r="AV2063" t="str">
            <v>10</v>
          </cell>
          <cell r="AW2063">
            <v>0</v>
          </cell>
          <cell r="AX2063">
            <v>0</v>
          </cell>
          <cell r="AY2063">
            <v>0</v>
          </cell>
          <cell r="AZ2063">
            <v>0</v>
          </cell>
          <cell r="BA2063">
            <v>0</v>
          </cell>
          <cell r="BD2063" t="str">
            <v/>
          </cell>
          <cell r="BE2063">
            <v>1</v>
          </cell>
          <cell r="BG2063" t="str">
            <v>1100</v>
          </cell>
        </row>
        <row r="2064">
          <cell r="B2064" t="str">
            <v>G432060106100100</v>
          </cell>
          <cell r="C2064" t="str">
            <v>43.熊本県</v>
          </cell>
          <cell r="D2064" t="str">
            <v>206</v>
          </cell>
          <cell r="E2064" t="str">
            <v>玉名市</v>
          </cell>
          <cell r="F2064" t="str">
            <v>01</v>
          </cell>
          <cell r="G2064" t="str">
            <v>公共 単独</v>
          </cell>
          <cell r="H2064" t="str">
            <v>公共下水道</v>
          </cell>
          <cell r="I2064" t="str">
            <v>単独</v>
          </cell>
          <cell r="J2064" t="str">
            <v>001</v>
          </cell>
          <cell r="K2064" t="str">
            <v>玉名市浄化センター</v>
          </cell>
          <cell r="M2064" t="str">
            <v>1</v>
          </cell>
          <cell r="N2064" t="str">
            <v>1</v>
          </cell>
          <cell r="Q2064">
            <v>29677</v>
          </cell>
          <cell r="R2064" t="str">
            <v>昭和</v>
          </cell>
          <cell r="S2064">
            <v>56</v>
          </cell>
          <cell r="T2064">
            <v>4</v>
          </cell>
          <cell r="AB2064">
            <v>26000</v>
          </cell>
          <cell r="AC2064" t="str">
            <v>菊池川下流</v>
          </cell>
          <cell r="AD2064" t="str">
            <v>Ａ</v>
          </cell>
          <cell r="AE2064" t="str">
            <v>イ</v>
          </cell>
          <cell r="AF2064">
            <v>15</v>
          </cell>
          <cell r="AK2064" t="str">
            <v>菊池川</v>
          </cell>
          <cell r="AQ2064" t="str">
            <v/>
          </cell>
          <cell r="AR2064" t="str">
            <v>標準活性汚泥法</v>
          </cell>
          <cell r="AS2064" t="str">
            <v>4320601001</v>
          </cell>
          <cell r="AT2064" t="str">
            <v/>
          </cell>
          <cell r="AU2064" t="str">
            <v>10</v>
          </cell>
          <cell r="AV2064" t="str">
            <v>10</v>
          </cell>
          <cell r="AW2064">
            <v>0</v>
          </cell>
          <cell r="AX2064">
            <v>0</v>
          </cell>
          <cell r="AY2064">
            <v>0</v>
          </cell>
          <cell r="AZ2064">
            <v>0</v>
          </cell>
          <cell r="BA2064">
            <v>0</v>
          </cell>
          <cell r="BD2064" t="str">
            <v/>
          </cell>
          <cell r="BE2064">
            <v>1</v>
          </cell>
          <cell r="BG2064" t="str">
            <v>1100</v>
          </cell>
        </row>
        <row r="2065">
          <cell r="B2065" t="str">
            <v>G432080106100100</v>
          </cell>
          <cell r="C2065" t="str">
            <v>43.熊本県</v>
          </cell>
          <cell r="D2065" t="str">
            <v>208</v>
          </cell>
          <cell r="E2065" t="str">
            <v>山鹿市</v>
          </cell>
          <cell r="F2065" t="str">
            <v>01</v>
          </cell>
          <cell r="G2065" t="str">
            <v>公共 単独</v>
          </cell>
          <cell r="H2065" t="str">
            <v>公共下水道</v>
          </cell>
          <cell r="I2065" t="str">
            <v>単独</v>
          </cell>
          <cell r="J2065" t="str">
            <v>001</v>
          </cell>
          <cell r="K2065" t="str">
            <v>山鹿浄水センター</v>
          </cell>
          <cell r="M2065" t="str">
            <v>1</v>
          </cell>
          <cell r="N2065" t="str">
            <v>1</v>
          </cell>
          <cell r="Q2065">
            <v>27485</v>
          </cell>
          <cell r="R2065" t="str">
            <v>昭和</v>
          </cell>
          <cell r="S2065">
            <v>50</v>
          </cell>
          <cell r="T2065">
            <v>4</v>
          </cell>
          <cell r="AB2065">
            <v>34274</v>
          </cell>
          <cell r="AF2065">
            <v>15</v>
          </cell>
          <cell r="AG2065">
            <v>17</v>
          </cell>
          <cell r="AH2065">
            <v>2.5</v>
          </cell>
          <cell r="AI2065" t="str">
            <v>吉田川</v>
          </cell>
          <cell r="AL2065" t="str">
            <v>白石堰</v>
          </cell>
          <cell r="AN2065">
            <v>16</v>
          </cell>
          <cell r="AO2065" t="str">
            <v>大牟田市</v>
          </cell>
          <cell r="AQ2065" t="str">
            <v/>
          </cell>
          <cell r="AR2065" t="str">
            <v>標準活性汚泥法</v>
          </cell>
          <cell r="AS2065" t="str">
            <v>4320801001</v>
          </cell>
          <cell r="AT2065" t="str">
            <v/>
          </cell>
          <cell r="AU2065" t="str">
            <v>10</v>
          </cell>
          <cell r="AV2065" t="str">
            <v>10</v>
          </cell>
          <cell r="AW2065">
            <v>0</v>
          </cell>
          <cell r="AX2065">
            <v>0</v>
          </cell>
          <cell r="AY2065">
            <v>0</v>
          </cell>
          <cell r="AZ2065">
            <v>0</v>
          </cell>
          <cell r="BA2065">
            <v>0</v>
          </cell>
          <cell r="BD2065" t="str">
            <v/>
          </cell>
          <cell r="BE2065">
            <v>1</v>
          </cell>
          <cell r="BG2065" t="str">
            <v>1100</v>
          </cell>
        </row>
        <row r="2066">
          <cell r="B2066" t="str">
            <v>G432100106100100</v>
          </cell>
          <cell r="C2066" t="str">
            <v>43.熊本県</v>
          </cell>
          <cell r="D2066" t="str">
            <v>210</v>
          </cell>
          <cell r="E2066" t="str">
            <v>菊池市</v>
          </cell>
          <cell r="F2066" t="str">
            <v>01</v>
          </cell>
          <cell r="G2066" t="str">
            <v>公共 単独</v>
          </cell>
          <cell r="H2066" t="str">
            <v>公共下水道</v>
          </cell>
          <cell r="I2066" t="str">
            <v>単独</v>
          </cell>
          <cell r="J2066" t="str">
            <v>001</v>
          </cell>
          <cell r="K2066" t="str">
            <v>菊池浄水センター</v>
          </cell>
          <cell r="M2066" t="str">
            <v>1</v>
          </cell>
          <cell r="N2066" t="str">
            <v>1</v>
          </cell>
          <cell r="Q2066">
            <v>30590</v>
          </cell>
          <cell r="R2066" t="str">
            <v>昭和</v>
          </cell>
          <cell r="S2066">
            <v>58</v>
          </cell>
          <cell r="T2066">
            <v>10</v>
          </cell>
          <cell r="AB2066">
            <v>40000</v>
          </cell>
          <cell r="AC2066" t="str">
            <v>菊池川</v>
          </cell>
          <cell r="AD2066" t="str">
            <v>Ａ</v>
          </cell>
          <cell r="AE2066" t="str">
            <v>イ</v>
          </cell>
          <cell r="AF2066">
            <v>15</v>
          </cell>
          <cell r="AK2066" t="str">
            <v>菊池川</v>
          </cell>
          <cell r="AL2066" t="str">
            <v>白石堰</v>
          </cell>
          <cell r="AN2066">
            <v>34</v>
          </cell>
          <cell r="AO2066" t="str">
            <v>大牟田市</v>
          </cell>
          <cell r="AQ2066" t="str">
            <v/>
          </cell>
          <cell r="AR2066" t="str">
            <v>標準活性汚泥法</v>
          </cell>
          <cell r="AS2066" t="str">
            <v>4321001001</v>
          </cell>
          <cell r="AT2066" t="str">
            <v/>
          </cell>
          <cell r="AU2066" t="str">
            <v>10</v>
          </cell>
          <cell r="AV2066" t="str">
            <v>10</v>
          </cell>
          <cell r="AW2066">
            <v>0</v>
          </cell>
          <cell r="AX2066">
            <v>0</v>
          </cell>
          <cell r="AY2066">
            <v>0</v>
          </cell>
          <cell r="AZ2066">
            <v>0</v>
          </cell>
          <cell r="BA2066">
            <v>0</v>
          </cell>
          <cell r="BD2066" t="str">
            <v/>
          </cell>
          <cell r="BE2066">
            <v>1</v>
          </cell>
          <cell r="BG2066" t="str">
            <v>1100</v>
          </cell>
        </row>
        <row r="2067">
          <cell r="B2067" t="str">
            <v>G432100206100200</v>
          </cell>
          <cell r="C2067" t="str">
            <v>43.熊本県</v>
          </cell>
          <cell r="D2067" t="str">
            <v>210</v>
          </cell>
          <cell r="E2067" t="str">
            <v>菊池市</v>
          </cell>
          <cell r="F2067" t="str">
            <v>02</v>
          </cell>
          <cell r="G2067" t="str">
            <v>特環 単独</v>
          </cell>
          <cell r="H2067" t="str">
            <v>特定環境保全公共下水道</v>
          </cell>
          <cell r="I2067" t="str">
            <v>単独</v>
          </cell>
          <cell r="J2067" t="str">
            <v>002</v>
          </cell>
          <cell r="K2067" t="str">
            <v>泗水浄化センター</v>
          </cell>
          <cell r="M2067" t="str">
            <v>1</v>
          </cell>
          <cell r="N2067" t="str">
            <v>1</v>
          </cell>
          <cell r="Q2067">
            <v>36251</v>
          </cell>
          <cell r="R2067" t="str">
            <v>平成</v>
          </cell>
          <cell r="S2067">
            <v>11</v>
          </cell>
          <cell r="T2067">
            <v>4</v>
          </cell>
          <cell r="AB2067">
            <v>30350</v>
          </cell>
          <cell r="AC2067" t="str">
            <v>合志川</v>
          </cell>
          <cell r="AD2067" t="str">
            <v>Ａ</v>
          </cell>
          <cell r="AE2067" t="str">
            <v>イ</v>
          </cell>
          <cell r="AF2067">
            <v>15</v>
          </cell>
          <cell r="AK2067" t="str">
            <v>合志川</v>
          </cell>
          <cell r="AL2067" t="str">
            <v>白石堰</v>
          </cell>
          <cell r="AN2067">
            <v>33</v>
          </cell>
          <cell r="AO2067" t="str">
            <v>大牟田市</v>
          </cell>
          <cell r="AQ2067" t="str">
            <v/>
          </cell>
          <cell r="AR2067" t="str">
            <v>オキシディションディッチ法</v>
          </cell>
          <cell r="AS2067" t="str">
            <v>4321002002</v>
          </cell>
          <cell r="AT2067" t="str">
            <v/>
          </cell>
          <cell r="AU2067" t="str">
            <v>10</v>
          </cell>
          <cell r="AV2067" t="str">
            <v>10</v>
          </cell>
          <cell r="AW2067">
            <v>0</v>
          </cell>
          <cell r="AX2067">
            <v>0</v>
          </cell>
          <cell r="AY2067">
            <v>0</v>
          </cell>
          <cell r="AZ2067">
            <v>0</v>
          </cell>
          <cell r="BA2067">
            <v>0</v>
          </cell>
          <cell r="BD2067" t="str">
            <v/>
          </cell>
          <cell r="BE2067">
            <v>1</v>
          </cell>
          <cell r="BG2067" t="str">
            <v>1100</v>
          </cell>
        </row>
        <row r="2068">
          <cell r="B2068" t="str">
            <v>G432100206100300</v>
          </cell>
          <cell r="C2068" t="str">
            <v>43.熊本県</v>
          </cell>
          <cell r="D2068" t="str">
            <v>210</v>
          </cell>
          <cell r="E2068" t="str">
            <v>菊池市</v>
          </cell>
          <cell r="F2068" t="str">
            <v>02</v>
          </cell>
          <cell r="G2068" t="str">
            <v>特環 単独</v>
          </cell>
          <cell r="H2068" t="str">
            <v>特定環境保全公共下水道</v>
          </cell>
          <cell r="I2068" t="str">
            <v>単独</v>
          </cell>
          <cell r="J2068" t="str">
            <v>003</v>
          </cell>
          <cell r="K2068" t="str">
            <v>七城中央浄化センター</v>
          </cell>
          <cell r="M2068" t="str">
            <v>1</v>
          </cell>
          <cell r="N2068" t="str">
            <v>1</v>
          </cell>
          <cell r="Q2068">
            <v>37895</v>
          </cell>
          <cell r="R2068" t="str">
            <v>平成</v>
          </cell>
          <cell r="S2068">
            <v>15</v>
          </cell>
          <cell r="T2068">
            <v>10</v>
          </cell>
          <cell r="AB2068">
            <v>13485</v>
          </cell>
          <cell r="AC2068" t="str">
            <v>菊池川</v>
          </cell>
          <cell r="AD2068" t="str">
            <v>Ａ</v>
          </cell>
          <cell r="AE2068" t="str">
            <v>イ</v>
          </cell>
          <cell r="AF2068">
            <v>15</v>
          </cell>
          <cell r="AK2068" t="str">
            <v>迫間川</v>
          </cell>
          <cell r="AL2068" t="str">
            <v>白石堰</v>
          </cell>
          <cell r="AN2068">
            <v>30</v>
          </cell>
          <cell r="AO2068" t="str">
            <v>大牟田市</v>
          </cell>
          <cell r="AQ2068" t="str">
            <v/>
          </cell>
          <cell r="AR2068" t="str">
            <v>オキシディションディッチ法</v>
          </cell>
          <cell r="AS2068" t="str">
            <v>4321002003</v>
          </cell>
          <cell r="AT2068" t="str">
            <v/>
          </cell>
          <cell r="AU2068" t="str">
            <v>10</v>
          </cell>
          <cell r="AV2068" t="str">
            <v>10</v>
          </cell>
          <cell r="AW2068">
            <v>0</v>
          </cell>
          <cell r="AX2068">
            <v>0</v>
          </cell>
          <cell r="AY2068">
            <v>0</v>
          </cell>
          <cell r="AZ2068">
            <v>0</v>
          </cell>
          <cell r="BA2068">
            <v>0</v>
          </cell>
          <cell r="BD2068" t="str">
            <v/>
          </cell>
          <cell r="BE2068">
            <v>1</v>
          </cell>
          <cell r="BG2068" t="str">
            <v>1100</v>
          </cell>
        </row>
        <row r="2069">
          <cell r="B2069" t="str">
            <v>G432110106100100</v>
          </cell>
          <cell r="C2069" t="str">
            <v>43.熊本県</v>
          </cell>
          <cell r="D2069" t="str">
            <v>211</v>
          </cell>
          <cell r="E2069" t="str">
            <v>宇土市</v>
          </cell>
          <cell r="F2069" t="str">
            <v>01</v>
          </cell>
          <cell r="G2069" t="str">
            <v>公共 単独</v>
          </cell>
          <cell r="H2069" t="str">
            <v>公共下水道</v>
          </cell>
          <cell r="I2069" t="str">
            <v>単独</v>
          </cell>
          <cell r="J2069" t="str">
            <v>001</v>
          </cell>
          <cell r="K2069" t="str">
            <v>宇土終末処理場</v>
          </cell>
          <cell r="M2069" t="str">
            <v>1</v>
          </cell>
          <cell r="N2069" t="str">
            <v>1</v>
          </cell>
          <cell r="Q2069">
            <v>29221</v>
          </cell>
          <cell r="R2069" t="str">
            <v>昭和</v>
          </cell>
          <cell r="S2069">
            <v>55</v>
          </cell>
          <cell r="T2069">
            <v>1</v>
          </cell>
          <cell r="AB2069">
            <v>52860</v>
          </cell>
          <cell r="AC2069" t="str">
            <v>浜戸川</v>
          </cell>
          <cell r="AD2069" t="str">
            <v>Ｂ</v>
          </cell>
          <cell r="AE2069" t="str">
            <v>ロ</v>
          </cell>
          <cell r="AF2069">
            <v>15</v>
          </cell>
          <cell r="AG2069">
            <v>20</v>
          </cell>
          <cell r="AH2069">
            <v>3</v>
          </cell>
          <cell r="AI2069" t="str">
            <v>浜戸川</v>
          </cell>
          <cell r="AK2069" t="str">
            <v>緑川</v>
          </cell>
          <cell r="AQ2069" t="str">
            <v/>
          </cell>
          <cell r="AR2069" t="str">
            <v>標準活性汚泥法</v>
          </cell>
          <cell r="AS2069" t="str">
            <v>4321101001</v>
          </cell>
          <cell r="AT2069" t="str">
            <v/>
          </cell>
          <cell r="AU2069" t="str">
            <v>10</v>
          </cell>
          <cell r="AV2069" t="str">
            <v>10</v>
          </cell>
          <cell r="AW2069">
            <v>0</v>
          </cell>
          <cell r="AX2069">
            <v>0</v>
          </cell>
          <cell r="AY2069">
            <v>0</v>
          </cell>
          <cell r="AZ2069">
            <v>0</v>
          </cell>
          <cell r="BA2069">
            <v>0</v>
          </cell>
          <cell r="BD2069" t="str">
            <v/>
          </cell>
          <cell r="BE2069">
            <v>1</v>
          </cell>
          <cell r="BG2069" t="str">
            <v>1100</v>
          </cell>
        </row>
        <row r="2070">
          <cell r="B2070" t="str">
            <v>G432120206100100</v>
          </cell>
          <cell r="C2070" t="str">
            <v>43.熊本県</v>
          </cell>
          <cell r="D2070" t="str">
            <v>212</v>
          </cell>
          <cell r="E2070" t="str">
            <v>上天草市</v>
          </cell>
          <cell r="F2070" t="str">
            <v>02</v>
          </cell>
          <cell r="G2070" t="str">
            <v>特環 単独</v>
          </cell>
          <cell r="H2070" t="str">
            <v>特定環境保全公共下水道</v>
          </cell>
          <cell r="I2070" t="str">
            <v>単独</v>
          </cell>
          <cell r="J2070" t="str">
            <v>001</v>
          </cell>
          <cell r="K2070" t="str">
            <v>合津終末処理場</v>
          </cell>
          <cell r="M2070" t="str">
            <v>1</v>
          </cell>
          <cell r="N2070" t="str">
            <v>1</v>
          </cell>
          <cell r="Q2070">
            <v>33695</v>
          </cell>
          <cell r="R2070" t="str">
            <v>平成</v>
          </cell>
          <cell r="S2070">
            <v>4</v>
          </cell>
          <cell r="T2070">
            <v>4</v>
          </cell>
          <cell r="AB2070">
            <v>12913</v>
          </cell>
          <cell r="AC2070" t="str">
            <v>八代海(2)</v>
          </cell>
          <cell r="AD2070" t="str">
            <v>ｂ</v>
          </cell>
          <cell r="AE2070" t="str">
            <v>イ</v>
          </cell>
          <cell r="AF2070">
            <v>15</v>
          </cell>
          <cell r="AI2070" t="str">
            <v>八代海</v>
          </cell>
          <cell r="AQ2070" t="str">
            <v/>
          </cell>
          <cell r="AR2070" t="str">
            <v>オキシディションディッチ法</v>
          </cell>
          <cell r="AS2070" t="str">
            <v>4321202001</v>
          </cell>
          <cell r="AT2070" t="str">
            <v/>
          </cell>
          <cell r="AU2070" t="str">
            <v>10</v>
          </cell>
          <cell r="AV2070" t="str">
            <v>10</v>
          </cell>
          <cell r="AW2070">
            <v>0</v>
          </cell>
          <cell r="AX2070">
            <v>0</v>
          </cell>
          <cell r="AY2070">
            <v>0</v>
          </cell>
          <cell r="AZ2070">
            <v>0</v>
          </cell>
          <cell r="BA2070">
            <v>0</v>
          </cell>
          <cell r="BD2070" t="str">
            <v/>
          </cell>
          <cell r="BE2070">
            <v>1</v>
          </cell>
          <cell r="BG2070" t="str">
            <v>1100</v>
          </cell>
        </row>
        <row r="2071">
          <cell r="B2071" t="str">
            <v>G432130106100100</v>
          </cell>
          <cell r="C2071" t="str">
            <v>43.熊本県</v>
          </cell>
          <cell r="D2071" t="str">
            <v>213</v>
          </cell>
          <cell r="E2071" t="str">
            <v>宇城市</v>
          </cell>
          <cell r="F2071" t="str">
            <v>01</v>
          </cell>
          <cell r="G2071" t="str">
            <v>公共 単独</v>
          </cell>
          <cell r="H2071" t="str">
            <v>公共下水道</v>
          </cell>
          <cell r="I2071" t="str">
            <v>単独</v>
          </cell>
          <cell r="J2071" t="str">
            <v>001</v>
          </cell>
          <cell r="K2071" t="str">
            <v>松橋不知火浄水管理センター</v>
          </cell>
          <cell r="M2071" t="str">
            <v>1</v>
          </cell>
          <cell r="N2071" t="str">
            <v>1</v>
          </cell>
          <cell r="P2071" t="str">
            <v>1</v>
          </cell>
          <cell r="Q2071">
            <v>31686</v>
          </cell>
          <cell r="R2071" t="str">
            <v>昭和</v>
          </cell>
          <cell r="S2071">
            <v>61</v>
          </cell>
          <cell r="T2071">
            <v>10</v>
          </cell>
          <cell r="U2071" t="str">
            <v>名称変更</v>
          </cell>
          <cell r="V2071">
            <v>38353</v>
          </cell>
          <cell r="W2071" t="str">
            <v>平成</v>
          </cell>
          <cell r="X2071">
            <v>17</v>
          </cell>
          <cell r="Y2071">
            <v>1</v>
          </cell>
          <cell r="Z2071" t="str">
            <v>松橋不知火下水道組合</v>
          </cell>
          <cell r="AA2071" t="str">
            <v>宇城市</v>
          </cell>
          <cell r="AB2071">
            <v>44280</v>
          </cell>
          <cell r="AC2071" t="str">
            <v>氷川等</v>
          </cell>
          <cell r="AD2071" t="str">
            <v>Ｃ</v>
          </cell>
          <cell r="AE2071" t="str">
            <v>イ</v>
          </cell>
          <cell r="AF2071">
            <v>15</v>
          </cell>
          <cell r="AI2071" t="str">
            <v>大野川</v>
          </cell>
          <cell r="AL2071" t="str">
            <v>取水口なし</v>
          </cell>
          <cell r="AQ2071" t="str">
            <v/>
          </cell>
          <cell r="AR2071" t="str">
            <v>標準活性汚泥法</v>
          </cell>
          <cell r="AS2071" t="str">
            <v>4321301001</v>
          </cell>
          <cell r="AT2071" t="str">
            <v/>
          </cell>
          <cell r="AU2071" t="str">
            <v>10</v>
          </cell>
          <cell r="AV2071" t="str">
            <v>10</v>
          </cell>
          <cell r="AW2071">
            <v>1</v>
          </cell>
          <cell r="AX2071">
            <v>0</v>
          </cell>
          <cell r="AY2071">
            <v>0</v>
          </cell>
          <cell r="AZ2071">
            <v>0</v>
          </cell>
          <cell r="BA2071">
            <v>0</v>
          </cell>
          <cell r="BD2071" t="str">
            <v/>
          </cell>
          <cell r="BE2071">
            <v>1</v>
          </cell>
          <cell r="BG2071" t="str">
            <v>1101</v>
          </cell>
        </row>
        <row r="2072">
          <cell r="B2072" t="str">
            <v>G432140106100100</v>
          </cell>
          <cell r="C2072" t="str">
            <v>43.熊本県</v>
          </cell>
          <cell r="D2072" t="str">
            <v>214</v>
          </cell>
          <cell r="E2072" t="str">
            <v>阿蘇市</v>
          </cell>
          <cell r="F2072" t="str">
            <v>01</v>
          </cell>
          <cell r="G2072" t="str">
            <v>公共 単独</v>
          </cell>
          <cell r="H2072" t="str">
            <v>公共下水道</v>
          </cell>
          <cell r="I2072" t="str">
            <v>単独</v>
          </cell>
          <cell r="J2072" t="str">
            <v>001</v>
          </cell>
          <cell r="K2072" t="str">
            <v>阿蘇市浄化センター</v>
          </cell>
          <cell r="M2072" t="str">
            <v>1</v>
          </cell>
          <cell r="N2072" t="str">
            <v>1</v>
          </cell>
          <cell r="Q2072">
            <v>31503</v>
          </cell>
          <cell r="R2072" t="str">
            <v>昭和</v>
          </cell>
          <cell r="S2072">
            <v>61</v>
          </cell>
          <cell r="T2072">
            <v>4</v>
          </cell>
          <cell r="AB2072">
            <v>18717</v>
          </cell>
          <cell r="AC2072" t="str">
            <v>黒川</v>
          </cell>
          <cell r="AD2072" t="str">
            <v>Ａ</v>
          </cell>
          <cell r="AE2072" t="str">
            <v>イ</v>
          </cell>
          <cell r="AF2072">
            <v>15</v>
          </cell>
          <cell r="AG2072">
            <v>12.7</v>
          </cell>
          <cell r="AH2072">
            <v>1.2</v>
          </cell>
          <cell r="AK2072" t="str">
            <v>黒川</v>
          </cell>
          <cell r="AL2072" t="str">
            <v>下り山ポンプ場</v>
          </cell>
          <cell r="AM2072">
            <v>5</v>
          </cell>
          <cell r="AO2072" t="str">
            <v>阿蘇市</v>
          </cell>
          <cell r="AQ2072" t="str">
            <v/>
          </cell>
          <cell r="AR2072" t="str">
            <v>標準活性汚泥法</v>
          </cell>
          <cell r="AS2072" t="str">
            <v>4321401001</v>
          </cell>
          <cell r="AT2072" t="str">
            <v/>
          </cell>
          <cell r="AU2072" t="str">
            <v>10</v>
          </cell>
          <cell r="AV2072" t="str">
            <v>10</v>
          </cell>
          <cell r="AW2072">
            <v>0</v>
          </cell>
          <cell r="AX2072">
            <v>0</v>
          </cell>
          <cell r="AY2072">
            <v>0</v>
          </cell>
          <cell r="AZ2072">
            <v>0</v>
          </cell>
          <cell r="BA2072">
            <v>0</v>
          </cell>
          <cell r="BD2072" t="str">
            <v/>
          </cell>
          <cell r="BE2072">
            <v>1</v>
          </cell>
          <cell r="BG2072" t="str">
            <v>1100</v>
          </cell>
        </row>
        <row r="2073">
          <cell r="B2073" t="str">
            <v>G432150106100100</v>
          </cell>
          <cell r="C2073" t="str">
            <v>43.熊本県</v>
          </cell>
          <cell r="D2073" t="str">
            <v>215</v>
          </cell>
          <cell r="E2073" t="str">
            <v>天草市</v>
          </cell>
          <cell r="F2073" t="str">
            <v>01</v>
          </cell>
          <cell r="G2073" t="str">
            <v>公共 単独</v>
          </cell>
          <cell r="H2073" t="str">
            <v>公共下水道</v>
          </cell>
          <cell r="I2073" t="str">
            <v>単独</v>
          </cell>
          <cell r="J2073" t="str">
            <v>001</v>
          </cell>
          <cell r="K2073" t="str">
            <v>本渡浄化センター</v>
          </cell>
          <cell r="M2073" t="str">
            <v>1</v>
          </cell>
          <cell r="N2073" t="str">
            <v>1</v>
          </cell>
          <cell r="Q2073">
            <v>28581</v>
          </cell>
          <cell r="R2073" t="str">
            <v>昭和</v>
          </cell>
          <cell r="S2073">
            <v>53</v>
          </cell>
          <cell r="T2073">
            <v>4</v>
          </cell>
          <cell r="AB2073">
            <v>14190</v>
          </cell>
          <cell r="AC2073" t="str">
            <v>有明海（10）</v>
          </cell>
          <cell r="AD2073" t="str">
            <v>Ｂ</v>
          </cell>
          <cell r="AE2073" t="str">
            <v>イ</v>
          </cell>
          <cell r="AF2073">
            <v>15</v>
          </cell>
          <cell r="AI2073" t="str">
            <v>有明海</v>
          </cell>
          <cell r="AQ2073" t="str">
            <v/>
          </cell>
          <cell r="AR2073" t="str">
            <v>標準活性汚泥法</v>
          </cell>
          <cell r="AS2073" t="str">
            <v>4321501001</v>
          </cell>
          <cell r="AT2073" t="str">
            <v/>
          </cell>
          <cell r="AU2073" t="str">
            <v>10</v>
          </cell>
          <cell r="AV2073" t="str">
            <v>10</v>
          </cell>
          <cell r="AW2073">
            <v>0</v>
          </cell>
          <cell r="AX2073">
            <v>0</v>
          </cell>
          <cell r="AY2073">
            <v>0</v>
          </cell>
          <cell r="AZ2073">
            <v>0</v>
          </cell>
          <cell r="BA2073">
            <v>0</v>
          </cell>
          <cell r="BD2073" t="str">
            <v/>
          </cell>
          <cell r="BE2073">
            <v>1</v>
          </cell>
          <cell r="BG2073" t="str">
            <v>1100</v>
          </cell>
        </row>
        <row r="2074">
          <cell r="B2074" t="str">
            <v>G432150206100200</v>
          </cell>
          <cell r="C2074" t="str">
            <v>43.熊本県</v>
          </cell>
          <cell r="D2074" t="str">
            <v>215</v>
          </cell>
          <cell r="E2074" t="str">
            <v>天草市</v>
          </cell>
          <cell r="F2074" t="str">
            <v>02</v>
          </cell>
          <cell r="G2074" t="str">
            <v>特環 単独</v>
          </cell>
          <cell r="H2074" t="str">
            <v>特定環境保全公共下水道</v>
          </cell>
          <cell r="I2074" t="str">
            <v>単独</v>
          </cell>
          <cell r="J2074" t="str">
            <v>002</v>
          </cell>
          <cell r="K2074" t="str">
            <v>一町田浄化センター</v>
          </cell>
          <cell r="M2074" t="str">
            <v>1</v>
          </cell>
          <cell r="N2074" t="str">
            <v>1</v>
          </cell>
          <cell r="Q2074">
            <v>36982</v>
          </cell>
          <cell r="R2074" t="str">
            <v>平成</v>
          </cell>
          <cell r="S2074">
            <v>13</v>
          </cell>
          <cell r="T2074">
            <v>4</v>
          </cell>
          <cell r="AB2074">
            <v>2901</v>
          </cell>
          <cell r="AC2074" t="str">
            <v>天草西海</v>
          </cell>
          <cell r="AD2074" t="str">
            <v>Ａ</v>
          </cell>
          <cell r="AE2074" t="str">
            <v>イ</v>
          </cell>
          <cell r="AF2074">
            <v>15</v>
          </cell>
          <cell r="AJ2074" t="str">
            <v>一町田川</v>
          </cell>
          <cell r="AL2074" t="str">
            <v>一町田水道</v>
          </cell>
          <cell r="AM2074">
            <v>4</v>
          </cell>
          <cell r="AO2074" t="str">
            <v>天草市河浦町</v>
          </cell>
          <cell r="AQ2074" t="str">
            <v/>
          </cell>
          <cell r="AR2074" t="str">
            <v>オキシディションディッチ法</v>
          </cell>
          <cell r="AS2074" t="str">
            <v>4321502002</v>
          </cell>
          <cell r="AT2074" t="str">
            <v/>
          </cell>
          <cell r="AU2074" t="str">
            <v>10</v>
          </cell>
          <cell r="AV2074" t="str">
            <v>10</v>
          </cell>
          <cell r="AW2074">
            <v>0</v>
          </cell>
          <cell r="AX2074">
            <v>0</v>
          </cell>
          <cell r="AY2074">
            <v>0</v>
          </cell>
          <cell r="AZ2074">
            <v>0</v>
          </cell>
          <cell r="BA2074">
            <v>0</v>
          </cell>
          <cell r="BD2074" t="str">
            <v/>
          </cell>
          <cell r="BE2074">
            <v>1</v>
          </cell>
          <cell r="BG2074" t="str">
            <v>1100</v>
          </cell>
        </row>
        <row r="2075">
          <cell r="B2075" t="str">
            <v>G432150206100300</v>
          </cell>
          <cell r="C2075" t="str">
            <v>43.熊本県</v>
          </cell>
          <cell r="D2075" t="str">
            <v>215</v>
          </cell>
          <cell r="E2075" t="str">
            <v>天草市</v>
          </cell>
          <cell r="F2075" t="str">
            <v>02</v>
          </cell>
          <cell r="G2075" t="str">
            <v>特環 単独</v>
          </cell>
          <cell r="H2075" t="str">
            <v>特定環境保全公共下水道</v>
          </cell>
          <cell r="I2075" t="str">
            <v>単独</v>
          </cell>
          <cell r="J2075" t="str">
            <v>003</v>
          </cell>
          <cell r="K2075" t="str">
            <v>下田浄化センター</v>
          </cell>
          <cell r="M2075" t="str">
            <v>1</v>
          </cell>
          <cell r="N2075" t="str">
            <v>1</v>
          </cell>
          <cell r="Q2075">
            <v>36982</v>
          </cell>
          <cell r="R2075" t="str">
            <v>平成</v>
          </cell>
          <cell r="S2075">
            <v>13</v>
          </cell>
          <cell r="T2075">
            <v>4</v>
          </cell>
          <cell r="AB2075">
            <v>3300</v>
          </cell>
          <cell r="AC2075" t="str">
            <v>設定なし</v>
          </cell>
          <cell r="AF2075">
            <v>15</v>
          </cell>
          <cell r="AI2075" t="str">
            <v>宮の本川</v>
          </cell>
          <cell r="AJ2075" t="str">
            <v>下津深江川</v>
          </cell>
          <cell r="AL2075" t="str">
            <v>下山ダム</v>
          </cell>
          <cell r="AM2075">
            <v>5</v>
          </cell>
          <cell r="AO2075" t="str">
            <v>天草市天草町</v>
          </cell>
          <cell r="AQ2075" t="str">
            <v/>
          </cell>
          <cell r="AR2075" t="str">
            <v>オキシディションディッチ法</v>
          </cell>
          <cell r="AS2075" t="str">
            <v>4321502003</v>
          </cell>
          <cell r="AT2075" t="str">
            <v/>
          </cell>
          <cell r="AU2075" t="str">
            <v>10</v>
          </cell>
          <cell r="AV2075" t="str">
            <v>10</v>
          </cell>
          <cell r="AW2075">
            <v>0</v>
          </cell>
          <cell r="AX2075">
            <v>0</v>
          </cell>
          <cell r="AY2075">
            <v>0</v>
          </cell>
          <cell r="AZ2075">
            <v>0</v>
          </cell>
          <cell r="BA2075">
            <v>0</v>
          </cell>
          <cell r="BD2075" t="str">
            <v/>
          </cell>
          <cell r="BE2075">
            <v>1</v>
          </cell>
          <cell r="BG2075" t="str">
            <v>1100</v>
          </cell>
        </row>
        <row r="2076">
          <cell r="B2076" t="str">
            <v>G432150206100400</v>
          </cell>
          <cell r="C2076" t="str">
            <v>43.熊本県</v>
          </cell>
          <cell r="D2076" t="str">
            <v>215</v>
          </cell>
          <cell r="E2076" t="str">
            <v>天草市</v>
          </cell>
          <cell r="F2076" t="str">
            <v>02</v>
          </cell>
          <cell r="G2076" t="str">
            <v>特環 単独</v>
          </cell>
          <cell r="H2076" t="str">
            <v>特定環境保全公共下水道</v>
          </cell>
          <cell r="I2076" t="str">
            <v>単独</v>
          </cell>
          <cell r="J2076" t="str">
            <v>004</v>
          </cell>
          <cell r="K2076" t="str">
            <v>高浜浄化センター</v>
          </cell>
          <cell r="M2076" t="str">
            <v>1</v>
          </cell>
          <cell r="N2076" t="str">
            <v>1</v>
          </cell>
          <cell r="Q2076">
            <v>40634</v>
          </cell>
          <cell r="R2076" t="str">
            <v>平成</v>
          </cell>
          <cell r="S2076">
            <v>23</v>
          </cell>
          <cell r="T2076">
            <v>4</v>
          </cell>
          <cell r="AB2076">
            <v>3000</v>
          </cell>
          <cell r="AF2076">
            <v>15</v>
          </cell>
          <cell r="AI2076" t="str">
            <v>夕浦川</v>
          </cell>
          <cell r="AL2076" t="str">
            <v>皿山ダム</v>
          </cell>
          <cell r="AM2076">
            <v>3</v>
          </cell>
          <cell r="AO2076" t="str">
            <v>天草市天草町</v>
          </cell>
          <cell r="AQ2076" t="str">
            <v/>
          </cell>
          <cell r="AR2076" t="str">
            <v>その他処理方法</v>
          </cell>
          <cell r="AS2076" t="str">
            <v>4321502004</v>
          </cell>
          <cell r="AT2076" t="str">
            <v/>
          </cell>
          <cell r="AU2076" t="str">
            <v>10</v>
          </cell>
          <cell r="AV2076" t="str">
            <v>10</v>
          </cell>
          <cell r="AW2076">
            <v>0</v>
          </cell>
          <cell r="AX2076">
            <v>0</v>
          </cell>
          <cell r="AY2076">
            <v>0</v>
          </cell>
          <cell r="AZ2076">
            <v>0</v>
          </cell>
          <cell r="BA2076">
            <v>0</v>
          </cell>
          <cell r="BD2076" t="str">
            <v/>
          </cell>
          <cell r="BE2076">
            <v>1</v>
          </cell>
          <cell r="BG2076" t="str">
            <v>1100</v>
          </cell>
        </row>
        <row r="2077">
          <cell r="B2077" t="str">
            <v>G432160106100100</v>
          </cell>
          <cell r="C2077" t="str">
            <v>43.熊本県</v>
          </cell>
          <cell r="D2077" t="str">
            <v>216</v>
          </cell>
          <cell r="E2077" t="str">
            <v>合志市</v>
          </cell>
          <cell r="F2077" t="str">
            <v>01</v>
          </cell>
          <cell r="G2077" t="str">
            <v>公共 単独</v>
          </cell>
          <cell r="H2077" t="str">
            <v>公共下水道</v>
          </cell>
          <cell r="I2077" t="str">
            <v>単独</v>
          </cell>
          <cell r="J2077" t="str">
            <v>001</v>
          </cell>
          <cell r="K2077" t="str">
            <v>須屋浄化センター</v>
          </cell>
          <cell r="M2077" t="str">
            <v>1</v>
          </cell>
          <cell r="N2077" t="str">
            <v>1</v>
          </cell>
          <cell r="O2077" t="str">
            <v>1</v>
          </cell>
          <cell r="Q2077">
            <v>29677</v>
          </cell>
          <cell r="R2077" t="str">
            <v>昭和</v>
          </cell>
          <cell r="S2077">
            <v>56</v>
          </cell>
          <cell r="T2077">
            <v>4</v>
          </cell>
          <cell r="AB2077">
            <v>22500</v>
          </cell>
          <cell r="AC2077" t="str">
            <v>坪井川水域</v>
          </cell>
          <cell r="AD2077" t="str">
            <v>Ｄ</v>
          </cell>
          <cell r="AE2077" t="str">
            <v>ハ</v>
          </cell>
          <cell r="AF2077">
            <v>15</v>
          </cell>
          <cell r="AJ2077" t="str">
            <v>堀川</v>
          </cell>
          <cell r="AQ2077" t="str">
            <v/>
          </cell>
          <cell r="AR2077" t="str">
            <v>標準活性汚泥法</v>
          </cell>
          <cell r="AS2077" t="str">
            <v>4321601001</v>
          </cell>
          <cell r="AT2077" t="str">
            <v/>
          </cell>
          <cell r="AU2077" t="str">
            <v>11</v>
          </cell>
          <cell r="AV2077" t="str">
            <v>11</v>
          </cell>
          <cell r="AW2077">
            <v>0</v>
          </cell>
          <cell r="AX2077">
            <v>0</v>
          </cell>
          <cell r="AY2077">
            <v>0</v>
          </cell>
          <cell r="AZ2077">
            <v>0</v>
          </cell>
          <cell r="BA2077">
            <v>0</v>
          </cell>
          <cell r="BD2077" t="str">
            <v/>
          </cell>
          <cell r="BE2077">
            <v>1</v>
          </cell>
          <cell r="BG2077" t="str">
            <v>1110</v>
          </cell>
        </row>
        <row r="2078">
          <cell r="B2078" t="str">
            <v>G432160206100200</v>
          </cell>
          <cell r="C2078" t="str">
            <v>43.熊本県</v>
          </cell>
          <cell r="D2078" t="str">
            <v>216</v>
          </cell>
          <cell r="E2078" t="str">
            <v>合志市</v>
          </cell>
          <cell r="F2078" t="str">
            <v>02</v>
          </cell>
          <cell r="G2078" t="str">
            <v>特環 単独</v>
          </cell>
          <cell r="H2078" t="str">
            <v>特定環境保全公共下水道</v>
          </cell>
          <cell r="I2078" t="str">
            <v>単独</v>
          </cell>
          <cell r="J2078" t="str">
            <v>002</v>
          </cell>
          <cell r="K2078" t="str">
            <v>塩浸川浄化センター</v>
          </cell>
          <cell r="M2078" t="str">
            <v>1</v>
          </cell>
          <cell r="N2078" t="str">
            <v>1</v>
          </cell>
          <cell r="Q2078">
            <v>33664</v>
          </cell>
          <cell r="R2078" t="str">
            <v>平成</v>
          </cell>
          <cell r="S2078">
            <v>4</v>
          </cell>
          <cell r="T2078">
            <v>3</v>
          </cell>
          <cell r="AB2078">
            <v>19400</v>
          </cell>
          <cell r="AC2078" t="str">
            <v>設定なし</v>
          </cell>
          <cell r="AF2078">
            <v>15</v>
          </cell>
          <cell r="AJ2078" t="str">
            <v>塩浸川</v>
          </cell>
          <cell r="AL2078" t="str">
            <v>白石堰取水口</v>
          </cell>
          <cell r="AM2078">
            <v>37.799999999999997</v>
          </cell>
          <cell r="AN2078">
            <v>162</v>
          </cell>
          <cell r="AO2078" t="str">
            <v>大牟田市</v>
          </cell>
          <cell r="AQ2078" t="str">
            <v/>
          </cell>
          <cell r="AR2078" t="str">
            <v>オキシディションディッチ法</v>
          </cell>
          <cell r="AS2078" t="str">
            <v>4321602002</v>
          </cell>
          <cell r="AT2078" t="str">
            <v/>
          </cell>
          <cell r="AU2078" t="str">
            <v>10</v>
          </cell>
          <cell r="AV2078" t="str">
            <v>10</v>
          </cell>
          <cell r="AW2078">
            <v>0</v>
          </cell>
          <cell r="AX2078">
            <v>0</v>
          </cell>
          <cell r="AY2078">
            <v>0</v>
          </cell>
          <cell r="AZ2078">
            <v>0</v>
          </cell>
          <cell r="BA2078">
            <v>0</v>
          </cell>
          <cell r="BD2078" t="str">
            <v/>
          </cell>
          <cell r="BE2078">
            <v>1</v>
          </cell>
          <cell r="BG2078" t="str">
            <v>1100</v>
          </cell>
        </row>
        <row r="2079">
          <cell r="B2079" t="str">
            <v>G433670206100100</v>
          </cell>
          <cell r="C2079" t="str">
            <v>43.熊本県</v>
          </cell>
          <cell r="D2079" t="str">
            <v>367</v>
          </cell>
          <cell r="E2079" t="str">
            <v>南関町</v>
          </cell>
          <cell r="F2079" t="str">
            <v>02</v>
          </cell>
          <cell r="G2079" t="str">
            <v>特環 単独</v>
          </cell>
          <cell r="H2079" t="str">
            <v>特定環境保全公共下水道</v>
          </cell>
          <cell r="I2079" t="str">
            <v>単独</v>
          </cell>
          <cell r="J2079" t="str">
            <v>001</v>
          </cell>
          <cell r="K2079" t="str">
            <v>南関浄化センター</v>
          </cell>
          <cell r="M2079" t="str">
            <v>1</v>
          </cell>
          <cell r="N2079" t="str">
            <v>1</v>
          </cell>
          <cell r="Q2079">
            <v>37347</v>
          </cell>
          <cell r="R2079" t="str">
            <v>平成</v>
          </cell>
          <cell r="S2079">
            <v>14</v>
          </cell>
          <cell r="T2079">
            <v>4</v>
          </cell>
          <cell r="AB2079">
            <v>7190</v>
          </cell>
          <cell r="AC2079" t="str">
            <v>有明北部水域</v>
          </cell>
          <cell r="AD2079" t="str">
            <v>Ａ</v>
          </cell>
          <cell r="AE2079" t="str">
            <v>イ</v>
          </cell>
          <cell r="AF2079">
            <v>15</v>
          </cell>
          <cell r="AJ2079" t="str">
            <v>関川</v>
          </cell>
          <cell r="AL2079" t="str">
            <v>三池炭鉱専用水道沖田</v>
          </cell>
          <cell r="AN2079">
            <v>12.7</v>
          </cell>
          <cell r="AO2079" t="str">
            <v>福岡県大牟田市</v>
          </cell>
          <cell r="AQ2079" t="str">
            <v/>
          </cell>
          <cell r="AR2079" t="str">
            <v>オキシディションディッチ法</v>
          </cell>
          <cell r="AS2079" t="str">
            <v>4336702001</v>
          </cell>
          <cell r="AT2079" t="str">
            <v/>
          </cell>
          <cell r="AU2079" t="str">
            <v>10</v>
          </cell>
          <cell r="AV2079" t="str">
            <v>10</v>
          </cell>
          <cell r="AW2079">
            <v>0</v>
          </cell>
          <cell r="AX2079">
            <v>0</v>
          </cell>
          <cell r="AY2079">
            <v>0</v>
          </cell>
          <cell r="AZ2079">
            <v>0</v>
          </cell>
          <cell r="BA2079">
            <v>0</v>
          </cell>
          <cell r="BD2079" t="str">
            <v/>
          </cell>
          <cell r="BE2079">
            <v>1</v>
          </cell>
          <cell r="BG2079" t="str">
            <v>1100</v>
          </cell>
        </row>
        <row r="2080">
          <cell r="B2080" t="str">
            <v>G433680106100100</v>
          </cell>
          <cell r="C2080" t="str">
            <v>43.熊本県</v>
          </cell>
          <cell r="D2080" t="str">
            <v>368</v>
          </cell>
          <cell r="E2080" t="str">
            <v>長洲町</v>
          </cell>
          <cell r="F2080" t="str">
            <v>01</v>
          </cell>
          <cell r="G2080" t="str">
            <v>公共 単独</v>
          </cell>
          <cell r="H2080" t="str">
            <v>公共下水道</v>
          </cell>
          <cell r="I2080" t="str">
            <v>単独</v>
          </cell>
          <cell r="J2080" t="str">
            <v>001</v>
          </cell>
          <cell r="K2080" t="str">
            <v>長洲町浄化センター</v>
          </cell>
          <cell r="M2080" t="str">
            <v>1</v>
          </cell>
          <cell r="N2080" t="str">
            <v>1</v>
          </cell>
          <cell r="Q2080">
            <v>31472</v>
          </cell>
          <cell r="R2080" t="str">
            <v>昭和</v>
          </cell>
          <cell r="S2080">
            <v>61</v>
          </cell>
          <cell r="T2080">
            <v>3</v>
          </cell>
          <cell r="AB2080">
            <v>25800</v>
          </cell>
          <cell r="AC2080" t="str">
            <v>有明海（6）</v>
          </cell>
          <cell r="AD2080" t="str">
            <v>Ｂ</v>
          </cell>
          <cell r="AE2080" t="str">
            <v>イ</v>
          </cell>
          <cell r="AF2080">
            <v>15</v>
          </cell>
          <cell r="AI2080" t="str">
            <v>有明海</v>
          </cell>
          <cell r="AQ2080" t="str">
            <v/>
          </cell>
          <cell r="AR2080" t="str">
            <v>標準活性汚泥法</v>
          </cell>
          <cell r="AS2080" t="str">
            <v>4336801001</v>
          </cell>
          <cell r="AT2080" t="str">
            <v/>
          </cell>
          <cell r="AU2080" t="str">
            <v>10</v>
          </cell>
          <cell r="AV2080" t="str">
            <v>10</v>
          </cell>
          <cell r="AW2080">
            <v>0</v>
          </cell>
          <cell r="AX2080">
            <v>0</v>
          </cell>
          <cell r="AY2080">
            <v>0</v>
          </cell>
          <cell r="AZ2080">
            <v>0</v>
          </cell>
          <cell r="BA2080">
            <v>0</v>
          </cell>
          <cell r="BD2080" t="str">
            <v/>
          </cell>
          <cell r="BE2080">
            <v>1</v>
          </cell>
          <cell r="BG2080" t="str">
            <v>1100</v>
          </cell>
        </row>
        <row r="2081">
          <cell r="B2081" t="str">
            <v>G433690206100100</v>
          </cell>
          <cell r="C2081" t="str">
            <v>43.熊本県</v>
          </cell>
          <cell r="D2081" t="str">
            <v>369</v>
          </cell>
          <cell r="E2081" t="str">
            <v>和水町</v>
          </cell>
          <cell r="F2081" t="str">
            <v>02</v>
          </cell>
          <cell r="G2081" t="str">
            <v>特環 単独</v>
          </cell>
          <cell r="H2081" t="str">
            <v>特定環境保全公共下水道</v>
          </cell>
          <cell r="I2081" t="str">
            <v>単独</v>
          </cell>
          <cell r="J2081" t="str">
            <v>001</v>
          </cell>
          <cell r="K2081" t="str">
            <v>菊水浄化センター</v>
          </cell>
          <cell r="M2081" t="str">
            <v>1</v>
          </cell>
          <cell r="N2081" t="str">
            <v>1</v>
          </cell>
          <cell r="Q2081">
            <v>38808</v>
          </cell>
          <cell r="R2081" t="str">
            <v>平成</v>
          </cell>
          <cell r="S2081">
            <v>18</v>
          </cell>
          <cell r="T2081">
            <v>4</v>
          </cell>
          <cell r="AB2081">
            <v>6100</v>
          </cell>
          <cell r="AC2081" t="str">
            <v>菊池川</v>
          </cell>
          <cell r="AD2081" t="str">
            <v>Ａ</v>
          </cell>
          <cell r="AE2081" t="str">
            <v>イ</v>
          </cell>
          <cell r="AF2081">
            <v>15</v>
          </cell>
          <cell r="AG2081">
            <v>12.2</v>
          </cell>
          <cell r="AH2081">
            <v>1.2</v>
          </cell>
          <cell r="AK2081" t="str">
            <v>江田川</v>
          </cell>
          <cell r="AL2081" t="str">
            <v>溝上水源地</v>
          </cell>
          <cell r="AN2081">
            <v>1</v>
          </cell>
          <cell r="AO2081" t="str">
            <v>玉名市</v>
          </cell>
          <cell r="AQ2081" t="str">
            <v/>
          </cell>
          <cell r="AR2081" t="str">
            <v>オキシディションディッチ法</v>
          </cell>
          <cell r="AS2081" t="str">
            <v>4336902001</v>
          </cell>
          <cell r="AT2081" t="str">
            <v/>
          </cell>
          <cell r="AU2081" t="str">
            <v>10</v>
          </cell>
          <cell r="AV2081" t="str">
            <v>10</v>
          </cell>
          <cell r="AW2081">
            <v>0</v>
          </cell>
          <cell r="AX2081">
            <v>0</v>
          </cell>
          <cell r="AY2081">
            <v>0</v>
          </cell>
          <cell r="AZ2081">
            <v>0</v>
          </cell>
          <cell r="BA2081">
            <v>0</v>
          </cell>
          <cell r="BD2081" t="str">
            <v/>
          </cell>
          <cell r="BE2081">
            <v>1</v>
          </cell>
          <cell r="BG2081" t="str">
            <v>1100</v>
          </cell>
        </row>
        <row r="2082">
          <cell r="B2082" t="str">
            <v>G434030106100100</v>
          </cell>
          <cell r="C2082" t="str">
            <v>43.熊本県</v>
          </cell>
          <cell r="D2082" t="str">
            <v>403</v>
          </cell>
          <cell r="E2082" t="str">
            <v>大津町</v>
          </cell>
          <cell r="F2082" t="str">
            <v>01</v>
          </cell>
          <cell r="G2082" t="str">
            <v>公共 単独</v>
          </cell>
          <cell r="H2082" t="str">
            <v>公共下水道</v>
          </cell>
          <cell r="I2082" t="str">
            <v>単独</v>
          </cell>
          <cell r="J2082" t="str">
            <v>001</v>
          </cell>
          <cell r="K2082" t="str">
            <v>大津町浄化センター</v>
          </cell>
          <cell r="M2082" t="str">
            <v>1</v>
          </cell>
          <cell r="N2082" t="str">
            <v>1</v>
          </cell>
          <cell r="Q2082">
            <v>32599</v>
          </cell>
          <cell r="R2082" t="str">
            <v>平成</v>
          </cell>
          <cell r="S2082">
            <v>1</v>
          </cell>
          <cell r="T2082">
            <v>4</v>
          </cell>
          <cell r="AB2082">
            <v>43200</v>
          </cell>
          <cell r="AC2082" t="str">
            <v>白川中流</v>
          </cell>
          <cell r="AD2082" t="str">
            <v>Ａ</v>
          </cell>
          <cell r="AE2082" t="str">
            <v>イ</v>
          </cell>
          <cell r="AF2082">
            <v>15</v>
          </cell>
          <cell r="AK2082" t="str">
            <v>白川</v>
          </cell>
          <cell r="AQ2082" t="str">
            <v/>
          </cell>
          <cell r="AR2082" t="str">
            <v>標準活性汚泥法</v>
          </cell>
          <cell r="AS2082" t="str">
            <v>4340301001</v>
          </cell>
          <cell r="AT2082" t="str">
            <v/>
          </cell>
          <cell r="AU2082" t="str">
            <v>10</v>
          </cell>
          <cell r="AV2082" t="str">
            <v>10</v>
          </cell>
          <cell r="AW2082">
            <v>0</v>
          </cell>
          <cell r="AX2082">
            <v>0</v>
          </cell>
          <cell r="AY2082">
            <v>0</v>
          </cell>
          <cell r="AZ2082">
            <v>0</v>
          </cell>
          <cell r="BA2082">
            <v>0</v>
          </cell>
          <cell r="BD2082" t="str">
            <v/>
          </cell>
          <cell r="BE2082">
            <v>1</v>
          </cell>
          <cell r="BG2082" t="str">
            <v>1100</v>
          </cell>
        </row>
        <row r="2083">
          <cell r="B2083" t="str">
            <v>G434230206100100</v>
          </cell>
          <cell r="C2083" t="str">
            <v>43.熊本県</v>
          </cell>
          <cell r="D2083" t="str">
            <v>423</v>
          </cell>
          <cell r="E2083" t="str">
            <v>南小国町</v>
          </cell>
          <cell r="F2083" t="str">
            <v>02</v>
          </cell>
          <cell r="G2083" t="str">
            <v>特環 単独</v>
          </cell>
          <cell r="H2083" t="str">
            <v>特定環境保全公共下水道</v>
          </cell>
          <cell r="I2083" t="str">
            <v>単独</v>
          </cell>
          <cell r="J2083" t="str">
            <v>001</v>
          </cell>
          <cell r="K2083" t="str">
            <v>みなみ浄化センター</v>
          </cell>
          <cell r="M2083" t="str">
            <v>1</v>
          </cell>
          <cell r="N2083" t="str">
            <v>1</v>
          </cell>
          <cell r="Q2083">
            <v>39173</v>
          </cell>
          <cell r="R2083" t="str">
            <v>平成</v>
          </cell>
          <cell r="S2083">
            <v>19</v>
          </cell>
          <cell r="T2083">
            <v>4</v>
          </cell>
          <cell r="AB2083">
            <v>10365</v>
          </cell>
          <cell r="AC2083" t="str">
            <v>筑後川（１）</v>
          </cell>
          <cell r="AD2083" t="str">
            <v>ＡＡ</v>
          </cell>
          <cell r="AE2083" t="str">
            <v>イ</v>
          </cell>
          <cell r="AF2083">
            <v>15</v>
          </cell>
          <cell r="AK2083" t="str">
            <v>筑後川</v>
          </cell>
          <cell r="AQ2083" t="str">
            <v/>
          </cell>
          <cell r="AR2083" t="str">
            <v>土壌被覆型礫間接触法</v>
          </cell>
          <cell r="AS2083" t="str">
            <v>4342302001</v>
          </cell>
          <cell r="AT2083" t="str">
            <v/>
          </cell>
          <cell r="AU2083" t="str">
            <v>10</v>
          </cell>
          <cell r="AV2083" t="str">
            <v>10</v>
          </cell>
          <cell r="AW2083">
            <v>0</v>
          </cell>
          <cell r="AX2083">
            <v>0</v>
          </cell>
          <cell r="AY2083">
            <v>0</v>
          </cell>
          <cell r="AZ2083">
            <v>0</v>
          </cell>
          <cell r="BA2083">
            <v>0</v>
          </cell>
          <cell r="BD2083" t="str">
            <v/>
          </cell>
          <cell r="BE2083">
            <v>1</v>
          </cell>
          <cell r="BG2083" t="str">
            <v>1100</v>
          </cell>
        </row>
        <row r="2084">
          <cell r="B2084" t="str">
            <v>G434410106100100</v>
          </cell>
          <cell r="C2084" t="str">
            <v>43.熊本県</v>
          </cell>
          <cell r="D2084" t="str">
            <v>441</v>
          </cell>
          <cell r="E2084" t="str">
            <v>御船町</v>
          </cell>
          <cell r="F2084" t="str">
            <v>01</v>
          </cell>
          <cell r="G2084" t="str">
            <v>公共 単独</v>
          </cell>
          <cell r="H2084" t="str">
            <v>公共下水道</v>
          </cell>
          <cell r="I2084" t="str">
            <v>単独</v>
          </cell>
          <cell r="J2084" t="str">
            <v>001</v>
          </cell>
          <cell r="K2084" t="str">
            <v>御船浄水センター</v>
          </cell>
          <cell r="M2084" t="str">
            <v>1</v>
          </cell>
          <cell r="N2084" t="str">
            <v>1</v>
          </cell>
          <cell r="Q2084">
            <v>34424</v>
          </cell>
          <cell r="R2084" t="str">
            <v>平成</v>
          </cell>
          <cell r="S2084">
            <v>6</v>
          </cell>
          <cell r="T2084">
            <v>3</v>
          </cell>
          <cell r="AB2084">
            <v>17023</v>
          </cell>
          <cell r="AC2084" t="str">
            <v>有明海</v>
          </cell>
          <cell r="AD2084" t="str">
            <v>Ａ</v>
          </cell>
          <cell r="AE2084" t="str">
            <v>ロ</v>
          </cell>
          <cell r="AF2084">
            <v>15</v>
          </cell>
          <cell r="AG2084">
            <v>17.7</v>
          </cell>
          <cell r="AH2084">
            <v>3</v>
          </cell>
          <cell r="AK2084" t="str">
            <v>矢形川</v>
          </cell>
          <cell r="AQ2084" t="str">
            <v/>
          </cell>
          <cell r="AR2084" t="str">
            <v>オキシディションディッチ法</v>
          </cell>
          <cell r="AS2084" t="str">
            <v>4344101001</v>
          </cell>
          <cell r="AT2084" t="str">
            <v/>
          </cell>
          <cell r="AU2084" t="str">
            <v>10</v>
          </cell>
          <cell r="AV2084" t="str">
            <v>10</v>
          </cell>
          <cell r="AW2084">
            <v>0</v>
          </cell>
          <cell r="AX2084">
            <v>0</v>
          </cell>
          <cell r="AY2084">
            <v>0</v>
          </cell>
          <cell r="AZ2084">
            <v>0</v>
          </cell>
          <cell r="BA2084">
            <v>0</v>
          </cell>
          <cell r="BD2084" t="str">
            <v/>
          </cell>
          <cell r="BE2084">
            <v>1</v>
          </cell>
          <cell r="BG2084" t="str">
            <v>1100</v>
          </cell>
        </row>
        <row r="2085">
          <cell r="B2085" t="str">
            <v>G434420106100100</v>
          </cell>
          <cell r="C2085" t="str">
            <v>43.熊本県</v>
          </cell>
          <cell r="D2085" t="str">
            <v>442</v>
          </cell>
          <cell r="E2085" t="str">
            <v>嘉島町</v>
          </cell>
          <cell r="F2085" t="str">
            <v>01</v>
          </cell>
          <cell r="G2085" t="str">
            <v>公共 単独</v>
          </cell>
          <cell r="H2085" t="str">
            <v>公共下水道</v>
          </cell>
          <cell r="I2085" t="str">
            <v>単独</v>
          </cell>
          <cell r="J2085" t="str">
            <v>001</v>
          </cell>
          <cell r="K2085" t="str">
            <v>嘉島浄化センター</v>
          </cell>
          <cell r="M2085" t="str">
            <v>1</v>
          </cell>
          <cell r="N2085" t="str">
            <v>1</v>
          </cell>
          <cell r="Q2085">
            <v>38596</v>
          </cell>
          <cell r="R2085" t="str">
            <v>平成</v>
          </cell>
          <cell r="S2085">
            <v>17</v>
          </cell>
          <cell r="T2085">
            <v>9</v>
          </cell>
          <cell r="AB2085">
            <v>30000</v>
          </cell>
          <cell r="AC2085" t="str">
            <v>緑川水域加勢川全域</v>
          </cell>
          <cell r="AD2085" t="str">
            <v>Ａ</v>
          </cell>
          <cell r="AE2085" t="str">
            <v>ロ</v>
          </cell>
          <cell r="AF2085">
            <v>15</v>
          </cell>
          <cell r="AI2085" t="str">
            <v>無田川</v>
          </cell>
          <cell r="AK2085" t="str">
            <v>加勢川</v>
          </cell>
          <cell r="AQ2085" t="str">
            <v/>
          </cell>
          <cell r="AR2085" t="str">
            <v>オキシディションディッチ法</v>
          </cell>
          <cell r="AS2085" t="str">
            <v>4344201001</v>
          </cell>
          <cell r="AT2085" t="str">
            <v/>
          </cell>
          <cell r="AU2085" t="str">
            <v>10</v>
          </cell>
          <cell r="AV2085" t="str">
            <v>10</v>
          </cell>
          <cell r="AW2085">
            <v>0</v>
          </cell>
          <cell r="AX2085">
            <v>0</v>
          </cell>
          <cell r="AY2085">
            <v>0</v>
          </cell>
          <cell r="AZ2085">
            <v>0</v>
          </cell>
          <cell r="BA2085">
            <v>0</v>
          </cell>
          <cell r="BD2085" t="str">
            <v/>
          </cell>
          <cell r="BE2085">
            <v>1</v>
          </cell>
          <cell r="BG2085" t="str">
            <v>1100</v>
          </cell>
        </row>
        <row r="2086">
          <cell r="B2086" t="str">
            <v>G434430106100100</v>
          </cell>
          <cell r="C2086" t="str">
            <v>43.熊本県</v>
          </cell>
          <cell r="D2086" t="str">
            <v>443</v>
          </cell>
          <cell r="E2086" t="str">
            <v>益城町</v>
          </cell>
          <cell r="F2086" t="str">
            <v>01</v>
          </cell>
          <cell r="G2086" t="str">
            <v>公共 単独</v>
          </cell>
          <cell r="H2086" t="str">
            <v>公共下水道</v>
          </cell>
          <cell r="I2086" t="str">
            <v>単独</v>
          </cell>
          <cell r="J2086" t="str">
            <v>001</v>
          </cell>
          <cell r="K2086" t="str">
            <v>益城町浄化センター</v>
          </cell>
          <cell r="M2086" t="str">
            <v>1</v>
          </cell>
          <cell r="N2086" t="str">
            <v>1</v>
          </cell>
          <cell r="P2086" t="str">
            <v>1</v>
          </cell>
          <cell r="Q2086">
            <v>34425</v>
          </cell>
          <cell r="R2086" t="str">
            <v>平成</v>
          </cell>
          <cell r="S2086">
            <v>6</v>
          </cell>
          <cell r="T2086">
            <v>4</v>
          </cell>
          <cell r="AB2086">
            <v>26400</v>
          </cell>
          <cell r="AC2086" t="str">
            <v>加勢川</v>
          </cell>
          <cell r="AD2086" t="str">
            <v>Ａ</v>
          </cell>
          <cell r="AE2086" t="str">
            <v>ロ</v>
          </cell>
          <cell r="AF2086">
            <v>15</v>
          </cell>
          <cell r="AK2086" t="str">
            <v>秋津川</v>
          </cell>
          <cell r="AQ2086" t="str">
            <v/>
          </cell>
          <cell r="AR2086" t="str">
            <v>標準活性汚泥法</v>
          </cell>
          <cell r="AS2086" t="str">
            <v>4344301001</v>
          </cell>
          <cell r="AT2086" t="str">
            <v/>
          </cell>
          <cell r="AU2086" t="str">
            <v>10</v>
          </cell>
          <cell r="AV2086" t="str">
            <v>10</v>
          </cell>
          <cell r="AW2086">
            <v>1</v>
          </cell>
          <cell r="AX2086">
            <v>0</v>
          </cell>
          <cell r="AY2086">
            <v>0</v>
          </cell>
          <cell r="AZ2086">
            <v>0</v>
          </cell>
          <cell r="BA2086">
            <v>0</v>
          </cell>
          <cell r="BD2086" t="str">
            <v/>
          </cell>
          <cell r="BE2086">
            <v>1</v>
          </cell>
          <cell r="BG2086" t="str">
            <v>1101</v>
          </cell>
        </row>
        <row r="2087">
          <cell r="B2087" t="str">
            <v>G434680206100100</v>
          </cell>
          <cell r="C2087" t="str">
            <v>43.熊本県</v>
          </cell>
          <cell r="D2087" t="str">
            <v>468</v>
          </cell>
          <cell r="E2087" t="str">
            <v>氷川町</v>
          </cell>
          <cell r="F2087" t="str">
            <v>02</v>
          </cell>
          <cell r="G2087" t="str">
            <v>特環 単独</v>
          </cell>
          <cell r="H2087" t="str">
            <v>特定環境保全公共下水道</v>
          </cell>
          <cell r="I2087" t="str">
            <v>単独</v>
          </cell>
          <cell r="J2087" t="str">
            <v>001</v>
          </cell>
          <cell r="K2087" t="str">
            <v>宮原浄化センター</v>
          </cell>
          <cell r="M2087" t="str">
            <v>1</v>
          </cell>
          <cell r="N2087" t="str">
            <v>1</v>
          </cell>
          <cell r="Q2087">
            <v>29312</v>
          </cell>
          <cell r="R2087" t="str">
            <v>昭和</v>
          </cell>
          <cell r="S2087">
            <v>55</v>
          </cell>
          <cell r="T2087">
            <v>4</v>
          </cell>
          <cell r="AB2087">
            <v>10788</v>
          </cell>
          <cell r="AF2087">
            <v>15</v>
          </cell>
          <cell r="AI2087" t="str">
            <v>麓川</v>
          </cell>
          <cell r="AJ2087" t="str">
            <v>鏡川</v>
          </cell>
          <cell r="AQ2087" t="str">
            <v/>
          </cell>
          <cell r="AR2087" t="str">
            <v>回転生物接触法</v>
          </cell>
          <cell r="AS2087" t="str">
            <v>4346802001</v>
          </cell>
          <cell r="AT2087" t="str">
            <v/>
          </cell>
          <cell r="AU2087" t="str">
            <v>10</v>
          </cell>
          <cell r="AV2087" t="str">
            <v>10</v>
          </cell>
          <cell r="AW2087">
            <v>0</v>
          </cell>
          <cell r="AX2087">
            <v>0</v>
          </cell>
          <cell r="AY2087">
            <v>0</v>
          </cell>
          <cell r="AZ2087">
            <v>0</v>
          </cell>
          <cell r="BA2087">
            <v>0</v>
          </cell>
          <cell r="BD2087" t="str">
            <v/>
          </cell>
          <cell r="BE2087">
            <v>1</v>
          </cell>
          <cell r="BG2087" t="str">
            <v>1100</v>
          </cell>
        </row>
        <row r="2088">
          <cell r="B2088" t="str">
            <v>G435310206100100</v>
          </cell>
          <cell r="C2088" t="str">
            <v>43.熊本県</v>
          </cell>
          <cell r="D2088" t="str">
            <v>531</v>
          </cell>
          <cell r="E2088" t="str">
            <v>苓北町</v>
          </cell>
          <cell r="F2088" t="str">
            <v>02</v>
          </cell>
          <cell r="G2088" t="str">
            <v>特環 単独</v>
          </cell>
          <cell r="H2088" t="str">
            <v>特定環境保全公共下水道</v>
          </cell>
          <cell r="I2088" t="str">
            <v>単独</v>
          </cell>
          <cell r="J2088" t="str">
            <v>001</v>
          </cell>
          <cell r="K2088" t="str">
            <v>富岡浄化センター</v>
          </cell>
          <cell r="M2088" t="str">
            <v>1</v>
          </cell>
          <cell r="N2088" t="str">
            <v>1</v>
          </cell>
          <cell r="Q2088">
            <v>36526</v>
          </cell>
          <cell r="R2088" t="str">
            <v>平成</v>
          </cell>
          <cell r="S2088">
            <v>12</v>
          </cell>
          <cell r="T2088">
            <v>1</v>
          </cell>
          <cell r="AB2088">
            <v>12554</v>
          </cell>
          <cell r="AC2088" t="str">
            <v>天草西海</v>
          </cell>
          <cell r="AD2088" t="str">
            <v>Ａ</v>
          </cell>
          <cell r="AE2088" t="str">
            <v>イ</v>
          </cell>
          <cell r="AF2088">
            <v>15</v>
          </cell>
          <cell r="AI2088" t="str">
            <v>富岡湾</v>
          </cell>
          <cell r="AQ2088" t="str">
            <v/>
          </cell>
          <cell r="AR2088" t="str">
            <v>オキシディションディッチ法</v>
          </cell>
          <cell r="AS2088" t="str">
            <v>4353102001</v>
          </cell>
          <cell r="AT2088" t="str">
            <v/>
          </cell>
          <cell r="AU2088" t="str">
            <v>10</v>
          </cell>
          <cell r="AV2088" t="str">
            <v>10</v>
          </cell>
          <cell r="AW2088">
            <v>0</v>
          </cell>
          <cell r="AX2088">
            <v>0</v>
          </cell>
          <cell r="AY2088">
            <v>0</v>
          </cell>
          <cell r="AZ2088">
            <v>0</v>
          </cell>
          <cell r="BA2088">
            <v>0</v>
          </cell>
          <cell r="BD2088" t="str">
            <v/>
          </cell>
          <cell r="BE2088">
            <v>1</v>
          </cell>
          <cell r="BG2088" t="str">
            <v>1100</v>
          </cell>
        </row>
        <row r="2089">
          <cell r="B2089" t="str">
            <v>G442010106100100</v>
          </cell>
          <cell r="C2089" t="str">
            <v>44.大分県</v>
          </cell>
          <cell r="D2089" t="str">
            <v>201</v>
          </cell>
          <cell r="E2089" t="str">
            <v>大分市</v>
          </cell>
          <cell r="F2089" t="str">
            <v>01</v>
          </cell>
          <cell r="G2089" t="str">
            <v>公共 単独</v>
          </cell>
          <cell r="H2089" t="str">
            <v>公共下水道</v>
          </cell>
          <cell r="I2089" t="str">
            <v>単独</v>
          </cell>
          <cell r="J2089" t="str">
            <v>001</v>
          </cell>
          <cell r="K2089" t="str">
            <v>原川水資源再生センター</v>
          </cell>
          <cell r="M2089" t="str">
            <v>1</v>
          </cell>
          <cell r="N2089" t="str">
            <v>1</v>
          </cell>
          <cell r="Q2089">
            <v>25447</v>
          </cell>
          <cell r="R2089" t="str">
            <v>昭和</v>
          </cell>
          <cell r="S2089">
            <v>44</v>
          </cell>
          <cell r="T2089">
            <v>9</v>
          </cell>
          <cell r="AB2089">
            <v>32540</v>
          </cell>
          <cell r="AC2089" t="str">
            <v>原川・乙津泊地</v>
          </cell>
          <cell r="AD2089" t="str">
            <v>Ｃ-Ⅱ</v>
          </cell>
          <cell r="AE2089" t="str">
            <v>ロ-イ</v>
          </cell>
          <cell r="AF2089">
            <v>15</v>
          </cell>
          <cell r="AK2089" t="str">
            <v>原川</v>
          </cell>
          <cell r="AP2089" t="str">
            <v>H22.4名称変更</v>
          </cell>
          <cell r="AQ2089" t="str">
            <v/>
          </cell>
          <cell r="AR2089" t="str">
            <v>酸素活性汚泥法</v>
          </cell>
          <cell r="AS2089" t="str">
            <v>4420101001</v>
          </cell>
          <cell r="AT2089" t="str">
            <v/>
          </cell>
          <cell r="AU2089" t="str">
            <v>10</v>
          </cell>
          <cell r="AV2089" t="str">
            <v>10</v>
          </cell>
          <cell r="AW2089">
            <v>0</v>
          </cell>
          <cell r="AX2089">
            <v>0</v>
          </cell>
          <cell r="AY2089">
            <v>0</v>
          </cell>
          <cell r="AZ2089">
            <v>0</v>
          </cell>
          <cell r="BA2089">
            <v>0</v>
          </cell>
          <cell r="BD2089" t="str">
            <v/>
          </cell>
          <cell r="BE2089">
            <v>1</v>
          </cell>
          <cell r="BG2089" t="str">
            <v>1100</v>
          </cell>
        </row>
        <row r="2090">
          <cell r="B2090" t="str">
            <v>G442010106100200</v>
          </cell>
          <cell r="C2090" t="str">
            <v>44.大分県</v>
          </cell>
          <cell r="D2090" t="str">
            <v>201</v>
          </cell>
          <cell r="E2090" t="str">
            <v>大分市</v>
          </cell>
          <cell r="F2090" t="str">
            <v>01</v>
          </cell>
          <cell r="G2090" t="str">
            <v>公共 単独</v>
          </cell>
          <cell r="H2090" t="str">
            <v>公共下水道</v>
          </cell>
          <cell r="I2090" t="str">
            <v>単独</v>
          </cell>
          <cell r="J2090" t="str">
            <v>002</v>
          </cell>
          <cell r="K2090" t="str">
            <v>宮崎水資源再生センター</v>
          </cell>
          <cell r="M2090" t="str">
            <v>1</v>
          </cell>
          <cell r="N2090" t="str">
            <v>1</v>
          </cell>
          <cell r="Q2090">
            <v>26999</v>
          </cell>
          <cell r="R2090" t="str">
            <v>昭和</v>
          </cell>
          <cell r="S2090">
            <v>48</v>
          </cell>
          <cell r="T2090">
            <v>12</v>
          </cell>
          <cell r="AB2090">
            <v>37657</v>
          </cell>
          <cell r="AC2090" t="str">
            <v>大分川下流</v>
          </cell>
          <cell r="AD2090" t="str">
            <v>Ｂ</v>
          </cell>
          <cell r="AE2090" t="str">
            <v>ハ</v>
          </cell>
          <cell r="AF2090">
            <v>15</v>
          </cell>
          <cell r="AK2090" t="str">
            <v>大分川</v>
          </cell>
          <cell r="AL2090" t="str">
            <v>大分市古国府浄水場</v>
          </cell>
          <cell r="AM2090">
            <v>1</v>
          </cell>
          <cell r="AO2090" t="str">
            <v>大分市</v>
          </cell>
          <cell r="AP2090" t="str">
            <v>H22.4名称変更</v>
          </cell>
          <cell r="AQ2090" t="str">
            <v/>
          </cell>
          <cell r="AR2090" t="str">
            <v>標準活性汚泥法</v>
          </cell>
          <cell r="AS2090" t="str">
            <v>4420101002</v>
          </cell>
          <cell r="AT2090" t="str">
            <v/>
          </cell>
          <cell r="AU2090" t="str">
            <v>10</v>
          </cell>
          <cell r="AV2090" t="str">
            <v>10</v>
          </cell>
          <cell r="AW2090">
            <v>0</v>
          </cell>
          <cell r="AX2090">
            <v>0</v>
          </cell>
          <cell r="AY2090">
            <v>0</v>
          </cell>
          <cell r="AZ2090">
            <v>0</v>
          </cell>
          <cell r="BA2090">
            <v>0</v>
          </cell>
          <cell r="BD2090" t="str">
            <v/>
          </cell>
          <cell r="BE2090">
            <v>1</v>
          </cell>
          <cell r="BG2090" t="str">
            <v>1100</v>
          </cell>
        </row>
        <row r="2091">
          <cell r="B2091" t="str">
            <v>G442010106100300</v>
          </cell>
          <cell r="C2091" t="str">
            <v>44.大分県</v>
          </cell>
          <cell r="D2091" t="str">
            <v>201</v>
          </cell>
          <cell r="E2091" t="str">
            <v>大分市</v>
          </cell>
          <cell r="F2091" t="str">
            <v>01</v>
          </cell>
          <cell r="G2091" t="str">
            <v>公共 単独</v>
          </cell>
          <cell r="H2091" t="str">
            <v>公共下水道</v>
          </cell>
          <cell r="I2091" t="str">
            <v>単独</v>
          </cell>
          <cell r="J2091" t="str">
            <v>003</v>
          </cell>
          <cell r="K2091" t="str">
            <v>弁天水資源再生センター</v>
          </cell>
          <cell r="M2091" t="str">
            <v>1</v>
          </cell>
          <cell r="N2091" t="str">
            <v>1</v>
          </cell>
          <cell r="P2091" t="str">
            <v>1</v>
          </cell>
          <cell r="Q2091">
            <v>28399</v>
          </cell>
          <cell r="R2091" t="str">
            <v>昭和</v>
          </cell>
          <cell r="S2091">
            <v>52</v>
          </cell>
          <cell r="T2091">
            <v>10</v>
          </cell>
          <cell r="AB2091">
            <v>61727</v>
          </cell>
          <cell r="AC2091" t="str">
            <v>大分川下流</v>
          </cell>
          <cell r="AD2091" t="str">
            <v>Ｂ</v>
          </cell>
          <cell r="AE2091" t="str">
            <v>ハ</v>
          </cell>
          <cell r="AF2091">
            <v>15</v>
          </cell>
          <cell r="AK2091" t="str">
            <v>大分川</v>
          </cell>
          <cell r="AL2091" t="str">
            <v>大分市古国府浄水場</v>
          </cell>
          <cell r="AM2091">
            <v>4</v>
          </cell>
          <cell r="AO2091" t="str">
            <v>大分市</v>
          </cell>
          <cell r="AP2091" t="str">
            <v>H22.4名称変更</v>
          </cell>
          <cell r="AQ2091" t="str">
            <v/>
          </cell>
          <cell r="AR2091" t="str">
            <v>標準活性汚泥法</v>
          </cell>
          <cell r="AS2091" t="str">
            <v>4420101003</v>
          </cell>
          <cell r="AT2091" t="str">
            <v/>
          </cell>
          <cell r="AU2091" t="str">
            <v>10</v>
          </cell>
          <cell r="AV2091" t="str">
            <v>10</v>
          </cell>
          <cell r="AW2091">
            <v>1</v>
          </cell>
          <cell r="AX2091">
            <v>0</v>
          </cell>
          <cell r="AY2091">
            <v>0</v>
          </cell>
          <cell r="AZ2091">
            <v>0</v>
          </cell>
          <cell r="BA2091">
            <v>0</v>
          </cell>
          <cell r="BD2091" t="str">
            <v/>
          </cell>
          <cell r="BE2091">
            <v>1</v>
          </cell>
          <cell r="BG2091" t="str">
            <v>1101</v>
          </cell>
        </row>
        <row r="2092">
          <cell r="B2092" t="str">
            <v>G442010106100400</v>
          </cell>
          <cell r="C2092" t="str">
            <v>44.大分県</v>
          </cell>
          <cell r="D2092" t="str">
            <v>201</v>
          </cell>
          <cell r="E2092" t="str">
            <v>大分市</v>
          </cell>
          <cell r="F2092" t="str">
            <v>01</v>
          </cell>
          <cell r="G2092" t="str">
            <v>公共 単独</v>
          </cell>
          <cell r="H2092" t="str">
            <v>公共下水道</v>
          </cell>
          <cell r="I2092" t="str">
            <v>単独</v>
          </cell>
          <cell r="J2092" t="str">
            <v>004</v>
          </cell>
          <cell r="K2092" t="str">
            <v>大在水資源再生センター</v>
          </cell>
          <cell r="M2092" t="str">
            <v>1</v>
          </cell>
          <cell r="N2092" t="str">
            <v>1</v>
          </cell>
          <cell r="Q2092">
            <v>32964</v>
          </cell>
          <cell r="R2092" t="str">
            <v>平成</v>
          </cell>
          <cell r="S2092">
            <v>2</v>
          </cell>
          <cell r="T2092">
            <v>4</v>
          </cell>
          <cell r="AB2092">
            <v>57507</v>
          </cell>
          <cell r="AC2092" t="str">
            <v>大野川下流</v>
          </cell>
          <cell r="AD2092" t="str">
            <v>Ａ</v>
          </cell>
          <cell r="AE2092" t="str">
            <v>ロ</v>
          </cell>
          <cell r="AF2092">
            <v>15</v>
          </cell>
          <cell r="AK2092" t="str">
            <v>大野川</v>
          </cell>
          <cell r="AP2092" t="str">
            <v>H22.4名称変更</v>
          </cell>
          <cell r="AQ2092" t="str">
            <v/>
          </cell>
          <cell r="AR2092" t="str">
            <v>標準活性汚泥法</v>
          </cell>
          <cell r="AS2092" t="str">
            <v>4420101004</v>
          </cell>
          <cell r="AT2092" t="str">
            <v/>
          </cell>
          <cell r="AU2092" t="str">
            <v>10</v>
          </cell>
          <cell r="AV2092" t="str">
            <v>10</v>
          </cell>
          <cell r="AW2092">
            <v>0</v>
          </cell>
          <cell r="AX2092">
            <v>0</v>
          </cell>
          <cell r="AY2092">
            <v>0</v>
          </cell>
          <cell r="AZ2092">
            <v>0</v>
          </cell>
          <cell r="BA2092">
            <v>0</v>
          </cell>
          <cell r="BD2092" t="str">
            <v/>
          </cell>
          <cell r="BE2092">
            <v>1</v>
          </cell>
          <cell r="BG2092" t="str">
            <v>1100</v>
          </cell>
        </row>
        <row r="2093">
          <cell r="B2093" t="str">
            <v>G442010106100500</v>
          </cell>
          <cell r="C2093" t="str">
            <v>44.大分県</v>
          </cell>
          <cell r="D2093" t="str">
            <v>201</v>
          </cell>
          <cell r="E2093" t="str">
            <v>大分市</v>
          </cell>
          <cell r="F2093" t="str">
            <v>01</v>
          </cell>
          <cell r="G2093" t="str">
            <v>公共 単独</v>
          </cell>
          <cell r="H2093" t="str">
            <v>公共下水道</v>
          </cell>
          <cell r="I2093" t="str">
            <v>単独</v>
          </cell>
          <cell r="J2093" t="str">
            <v>005</v>
          </cell>
          <cell r="K2093" t="str">
            <v>松岡水資源再生センター</v>
          </cell>
          <cell r="M2093" t="str">
            <v>1</v>
          </cell>
          <cell r="N2093" t="str">
            <v>1</v>
          </cell>
          <cell r="Q2093">
            <v>33695</v>
          </cell>
          <cell r="R2093" t="str">
            <v>平成</v>
          </cell>
          <cell r="S2093">
            <v>4</v>
          </cell>
          <cell r="T2093">
            <v>4</v>
          </cell>
          <cell r="AB2093">
            <v>17700</v>
          </cell>
          <cell r="AC2093" t="str">
            <v>大野川</v>
          </cell>
          <cell r="AD2093" t="str">
            <v>Ａ</v>
          </cell>
          <cell r="AE2093" t="str">
            <v>ロ</v>
          </cell>
          <cell r="AF2093">
            <v>15</v>
          </cell>
          <cell r="AK2093" t="str">
            <v>大野川</v>
          </cell>
          <cell r="AP2093" t="str">
            <v>H22.4名称変更</v>
          </cell>
          <cell r="AQ2093" t="str">
            <v/>
          </cell>
          <cell r="AR2093" t="str">
            <v>標準活性汚泥法</v>
          </cell>
          <cell r="AS2093" t="str">
            <v>4420101005</v>
          </cell>
          <cell r="AT2093" t="str">
            <v/>
          </cell>
          <cell r="AU2093" t="str">
            <v>10</v>
          </cell>
          <cell r="AV2093" t="str">
            <v>10</v>
          </cell>
          <cell r="AW2093">
            <v>0</v>
          </cell>
          <cell r="AX2093">
            <v>0</v>
          </cell>
          <cell r="AY2093">
            <v>0</v>
          </cell>
          <cell r="AZ2093">
            <v>0</v>
          </cell>
          <cell r="BA2093">
            <v>0</v>
          </cell>
          <cell r="BD2093" t="str">
            <v/>
          </cell>
          <cell r="BE2093">
            <v>1</v>
          </cell>
          <cell r="BG2093" t="str">
            <v>1100</v>
          </cell>
        </row>
        <row r="2094">
          <cell r="B2094" t="str">
            <v>G442020106100100</v>
          </cell>
          <cell r="C2094" t="str">
            <v>44.大分県</v>
          </cell>
          <cell r="D2094" t="str">
            <v>202</v>
          </cell>
          <cell r="E2094" t="str">
            <v>別府市</v>
          </cell>
          <cell r="F2094" t="str">
            <v>01</v>
          </cell>
          <cell r="G2094" t="str">
            <v>公共 単独</v>
          </cell>
          <cell r="H2094" t="str">
            <v>公共下水道</v>
          </cell>
          <cell r="I2094" t="str">
            <v>単独</v>
          </cell>
          <cell r="J2094" t="str">
            <v>001</v>
          </cell>
          <cell r="K2094" t="str">
            <v>別府市中央浄化センター</v>
          </cell>
          <cell r="M2094" t="str">
            <v>1</v>
          </cell>
          <cell r="N2094" t="str">
            <v>1</v>
          </cell>
          <cell r="Q2094">
            <v>28915</v>
          </cell>
          <cell r="R2094" t="str">
            <v>昭和</v>
          </cell>
          <cell r="S2094">
            <v>54</v>
          </cell>
          <cell r="T2094">
            <v>3</v>
          </cell>
          <cell r="AB2094">
            <v>77787</v>
          </cell>
          <cell r="AC2094" t="str">
            <v>別府湾水域</v>
          </cell>
          <cell r="AD2094" t="str">
            <v>Ｂ</v>
          </cell>
          <cell r="AE2094" t="str">
            <v>イ</v>
          </cell>
          <cell r="AF2094">
            <v>15</v>
          </cell>
          <cell r="AI2094" t="str">
            <v>別府湾</v>
          </cell>
          <cell r="AQ2094" t="str">
            <v/>
          </cell>
          <cell r="AR2094" t="str">
            <v>標準活性汚泥法</v>
          </cell>
          <cell r="AS2094" t="str">
            <v>4420201001</v>
          </cell>
          <cell r="AT2094" t="str">
            <v/>
          </cell>
          <cell r="AU2094" t="str">
            <v>10</v>
          </cell>
          <cell r="AV2094" t="str">
            <v>10</v>
          </cell>
          <cell r="AW2094">
            <v>0</v>
          </cell>
          <cell r="AX2094">
            <v>0</v>
          </cell>
          <cell r="AY2094">
            <v>0</v>
          </cell>
          <cell r="AZ2094">
            <v>0</v>
          </cell>
          <cell r="BA2094">
            <v>0</v>
          </cell>
          <cell r="BD2094" t="str">
            <v/>
          </cell>
          <cell r="BE2094">
            <v>1</v>
          </cell>
          <cell r="BG2094" t="str">
            <v>1100</v>
          </cell>
        </row>
        <row r="2095">
          <cell r="B2095" t="str">
            <v>G442030106100100</v>
          </cell>
          <cell r="C2095" t="str">
            <v>44.大分県</v>
          </cell>
          <cell r="D2095" t="str">
            <v>203</v>
          </cell>
          <cell r="E2095" t="str">
            <v>中津市</v>
          </cell>
          <cell r="F2095" t="str">
            <v>01</v>
          </cell>
          <cell r="G2095" t="str">
            <v>公共 単独</v>
          </cell>
          <cell r="H2095" t="str">
            <v>公共下水道</v>
          </cell>
          <cell r="I2095" t="str">
            <v>単独</v>
          </cell>
          <cell r="J2095" t="str">
            <v>001</v>
          </cell>
          <cell r="K2095" t="str">
            <v>中津終末処理場</v>
          </cell>
          <cell r="M2095" t="str">
            <v>1</v>
          </cell>
          <cell r="N2095" t="str">
            <v>1</v>
          </cell>
          <cell r="Q2095">
            <v>31503</v>
          </cell>
          <cell r="R2095" t="str">
            <v>昭和</v>
          </cell>
          <cell r="S2095">
            <v>61</v>
          </cell>
          <cell r="T2095">
            <v>4</v>
          </cell>
          <cell r="AB2095">
            <v>75300</v>
          </cell>
          <cell r="AC2095" t="str">
            <v>豊前地先</v>
          </cell>
          <cell r="AD2095" t="str">
            <v>Ａ</v>
          </cell>
          <cell r="AE2095" t="str">
            <v>ハ</v>
          </cell>
          <cell r="AF2095">
            <v>15</v>
          </cell>
          <cell r="AJ2095" t="str">
            <v>蛎瀬川</v>
          </cell>
          <cell r="AQ2095" t="str">
            <v/>
          </cell>
          <cell r="AR2095" t="str">
            <v>標準活性汚泥法</v>
          </cell>
          <cell r="AS2095" t="str">
            <v>4420301001</v>
          </cell>
          <cell r="AT2095" t="str">
            <v/>
          </cell>
          <cell r="AU2095" t="str">
            <v>10</v>
          </cell>
          <cell r="AV2095" t="str">
            <v>10</v>
          </cell>
          <cell r="AW2095">
            <v>0</v>
          </cell>
          <cell r="AX2095">
            <v>0</v>
          </cell>
          <cell r="AY2095">
            <v>0</v>
          </cell>
          <cell r="AZ2095">
            <v>0</v>
          </cell>
          <cell r="BA2095">
            <v>0</v>
          </cell>
          <cell r="BD2095" t="str">
            <v/>
          </cell>
          <cell r="BE2095">
            <v>1</v>
          </cell>
          <cell r="BG2095" t="str">
            <v>1100</v>
          </cell>
        </row>
        <row r="2096">
          <cell r="B2096" t="str">
            <v>G442030206100200</v>
          </cell>
          <cell r="C2096" t="str">
            <v>44.大分県</v>
          </cell>
          <cell r="D2096" t="str">
            <v>203</v>
          </cell>
          <cell r="E2096" t="str">
            <v>中津市</v>
          </cell>
          <cell r="F2096" t="str">
            <v>02</v>
          </cell>
          <cell r="G2096" t="str">
            <v>特環 単独</v>
          </cell>
          <cell r="H2096" t="str">
            <v>特定環境保全公共下水道</v>
          </cell>
          <cell r="I2096" t="str">
            <v>単独</v>
          </cell>
          <cell r="J2096" t="str">
            <v>002</v>
          </cell>
          <cell r="K2096" t="str">
            <v>山国浄化センター</v>
          </cell>
          <cell r="M2096" t="str">
            <v>1</v>
          </cell>
          <cell r="N2096" t="str">
            <v>1</v>
          </cell>
          <cell r="Q2096">
            <v>40648</v>
          </cell>
          <cell r="R2096" t="str">
            <v>平成</v>
          </cell>
          <cell r="S2096">
            <v>23</v>
          </cell>
          <cell r="T2096">
            <v>4</v>
          </cell>
          <cell r="AB2096">
            <v>4971</v>
          </cell>
          <cell r="AC2096" t="str">
            <v>山国川</v>
          </cell>
          <cell r="AD2096" t="str">
            <v>Ａ</v>
          </cell>
          <cell r="AE2096" t="str">
            <v>イ</v>
          </cell>
          <cell r="AF2096">
            <v>15</v>
          </cell>
          <cell r="AK2096" t="str">
            <v>山国川</v>
          </cell>
          <cell r="AQ2096" t="str">
            <v/>
          </cell>
          <cell r="AR2096" t="str">
            <v>オキシディションディッチ法</v>
          </cell>
          <cell r="AS2096" t="str">
            <v>4420302002</v>
          </cell>
          <cell r="AT2096" t="str">
            <v/>
          </cell>
          <cell r="AU2096" t="str">
            <v>10</v>
          </cell>
          <cell r="AV2096" t="str">
            <v>10</v>
          </cell>
          <cell r="AW2096">
            <v>0</v>
          </cell>
          <cell r="AX2096">
            <v>0</v>
          </cell>
          <cell r="AY2096">
            <v>0</v>
          </cell>
          <cell r="AZ2096">
            <v>0</v>
          </cell>
          <cell r="BA2096">
            <v>0</v>
          </cell>
          <cell r="BD2096" t="str">
            <v/>
          </cell>
          <cell r="BE2096">
            <v>1</v>
          </cell>
          <cell r="BG2096" t="str">
            <v>1100</v>
          </cell>
        </row>
        <row r="2097">
          <cell r="B2097" t="str">
            <v>G442040106100100</v>
          </cell>
          <cell r="C2097" t="str">
            <v>44.大分県</v>
          </cell>
          <cell r="D2097" t="str">
            <v>204</v>
          </cell>
          <cell r="E2097" t="str">
            <v>日田市</v>
          </cell>
          <cell r="F2097" t="str">
            <v>01</v>
          </cell>
          <cell r="G2097" t="str">
            <v>公共 単独</v>
          </cell>
          <cell r="H2097" t="str">
            <v>公共下水道</v>
          </cell>
          <cell r="I2097" t="str">
            <v>単独</v>
          </cell>
          <cell r="J2097" t="str">
            <v>001</v>
          </cell>
          <cell r="K2097" t="str">
            <v>日田市浄化センター</v>
          </cell>
          <cell r="M2097" t="str">
            <v>1</v>
          </cell>
          <cell r="N2097" t="str">
            <v>1</v>
          </cell>
          <cell r="O2097" t="str">
            <v>1</v>
          </cell>
          <cell r="Q2097">
            <v>29677</v>
          </cell>
          <cell r="R2097" t="str">
            <v>昭和</v>
          </cell>
          <cell r="S2097">
            <v>56</v>
          </cell>
          <cell r="T2097">
            <v>4</v>
          </cell>
          <cell r="AB2097">
            <v>51880</v>
          </cell>
          <cell r="AC2097" t="str">
            <v>筑後川</v>
          </cell>
          <cell r="AD2097" t="str">
            <v>Ａ</v>
          </cell>
          <cell r="AE2097" t="str">
            <v>イ</v>
          </cell>
          <cell r="AF2097">
            <v>14</v>
          </cell>
          <cell r="AK2097" t="str">
            <v>筑後川</v>
          </cell>
          <cell r="AM2097">
            <v>3</v>
          </cell>
          <cell r="AO2097" t="str">
            <v>日田市</v>
          </cell>
          <cell r="AQ2097" t="str">
            <v/>
          </cell>
          <cell r="AR2097" t="str">
            <v>標準活性汚泥法</v>
          </cell>
          <cell r="AS2097" t="str">
            <v>4420401001</v>
          </cell>
          <cell r="AT2097" t="str">
            <v/>
          </cell>
          <cell r="AU2097" t="str">
            <v>11</v>
          </cell>
          <cell r="AV2097" t="str">
            <v>11</v>
          </cell>
          <cell r="AW2097">
            <v>0</v>
          </cell>
          <cell r="AX2097">
            <v>0</v>
          </cell>
          <cell r="AY2097">
            <v>0</v>
          </cell>
          <cell r="AZ2097">
            <v>0</v>
          </cell>
          <cell r="BA2097">
            <v>0</v>
          </cell>
          <cell r="BD2097" t="str">
            <v/>
          </cell>
          <cell r="BE2097">
            <v>1</v>
          </cell>
          <cell r="BG2097" t="str">
            <v>1110</v>
          </cell>
        </row>
        <row r="2098">
          <cell r="B2098" t="str">
            <v>G442040206100200</v>
          </cell>
          <cell r="C2098" t="str">
            <v>44.大分県</v>
          </cell>
          <cell r="D2098" t="str">
            <v>204</v>
          </cell>
          <cell r="E2098" t="str">
            <v>日田市</v>
          </cell>
          <cell r="F2098" t="str">
            <v>02</v>
          </cell>
          <cell r="G2098" t="str">
            <v>特環 単独</v>
          </cell>
          <cell r="H2098" t="str">
            <v>特定環境保全公共下水道</v>
          </cell>
          <cell r="I2098" t="str">
            <v>単独</v>
          </cell>
          <cell r="J2098" t="str">
            <v>002</v>
          </cell>
          <cell r="K2098" t="str">
            <v>大山ダイヤモンドプレイス</v>
          </cell>
          <cell r="M2098" t="str">
            <v>1</v>
          </cell>
          <cell r="N2098" t="str">
            <v>1</v>
          </cell>
          <cell r="Q2098">
            <v>37530</v>
          </cell>
          <cell r="R2098" t="str">
            <v>平成</v>
          </cell>
          <cell r="S2098">
            <v>14</v>
          </cell>
          <cell r="T2098">
            <v>10</v>
          </cell>
          <cell r="AB2098">
            <v>2500</v>
          </cell>
          <cell r="AC2098" t="str">
            <v>筑後川</v>
          </cell>
          <cell r="AD2098" t="str">
            <v>Ａ</v>
          </cell>
          <cell r="AE2098" t="str">
            <v>イ</v>
          </cell>
          <cell r="AF2098">
            <v>15</v>
          </cell>
          <cell r="AK2098" t="str">
            <v>筑後川</v>
          </cell>
          <cell r="AL2098" t="str">
            <v>京町</v>
          </cell>
          <cell r="AN2098">
            <v>8</v>
          </cell>
          <cell r="AO2098" t="str">
            <v>日田市</v>
          </cell>
          <cell r="AQ2098" t="str">
            <v/>
          </cell>
          <cell r="AR2098" t="str">
            <v>オキシディションディッチ法</v>
          </cell>
          <cell r="AS2098" t="str">
            <v>4420402002</v>
          </cell>
          <cell r="AT2098" t="str">
            <v/>
          </cell>
          <cell r="AU2098" t="str">
            <v>10</v>
          </cell>
          <cell r="AV2098" t="str">
            <v>10</v>
          </cell>
          <cell r="AW2098">
            <v>0</v>
          </cell>
          <cell r="AX2098">
            <v>0</v>
          </cell>
          <cell r="AY2098">
            <v>0</v>
          </cell>
          <cell r="AZ2098">
            <v>0</v>
          </cell>
          <cell r="BA2098">
            <v>0</v>
          </cell>
          <cell r="BD2098" t="str">
            <v/>
          </cell>
          <cell r="BE2098">
            <v>1</v>
          </cell>
          <cell r="BG2098" t="str">
            <v>1100</v>
          </cell>
        </row>
        <row r="2099">
          <cell r="B2099" t="str">
            <v>G442050106100100</v>
          </cell>
          <cell r="C2099" t="str">
            <v>44.大分県</v>
          </cell>
          <cell r="D2099" t="str">
            <v>205</v>
          </cell>
          <cell r="E2099" t="str">
            <v>佐伯市</v>
          </cell>
          <cell r="F2099" t="str">
            <v>01</v>
          </cell>
          <cell r="G2099" t="str">
            <v>公共 単独</v>
          </cell>
          <cell r="H2099" t="str">
            <v>公共下水道</v>
          </cell>
          <cell r="I2099" t="str">
            <v>単独</v>
          </cell>
          <cell r="J2099" t="str">
            <v>001</v>
          </cell>
          <cell r="K2099" t="str">
            <v>佐伯終末処理場</v>
          </cell>
          <cell r="M2099" t="str">
            <v>1</v>
          </cell>
          <cell r="N2099" t="str">
            <v>1</v>
          </cell>
          <cell r="Q2099">
            <v>31868</v>
          </cell>
          <cell r="R2099" t="str">
            <v>昭和</v>
          </cell>
          <cell r="S2099">
            <v>62</v>
          </cell>
          <cell r="T2099">
            <v>4</v>
          </cell>
          <cell r="AB2099">
            <v>56124</v>
          </cell>
          <cell r="AC2099" t="str">
            <v>瀬戸内</v>
          </cell>
          <cell r="AD2099" t="str">
            <v>Ｅ</v>
          </cell>
          <cell r="AE2099" t="str">
            <v>ロ</v>
          </cell>
          <cell r="AF2099">
            <v>15</v>
          </cell>
          <cell r="AI2099" t="str">
            <v>中江川</v>
          </cell>
          <cell r="AK2099" t="str">
            <v>中江川</v>
          </cell>
          <cell r="AL2099" t="str">
            <v>第二水源</v>
          </cell>
          <cell r="AM2099">
            <v>8.5</v>
          </cell>
          <cell r="AO2099" t="str">
            <v>佐伯市</v>
          </cell>
          <cell r="AQ2099" t="str">
            <v/>
          </cell>
          <cell r="AR2099" t="str">
            <v>標準活性汚泥法</v>
          </cell>
          <cell r="AS2099" t="str">
            <v>4420501001</v>
          </cell>
          <cell r="AT2099" t="str">
            <v/>
          </cell>
          <cell r="AU2099" t="str">
            <v>10</v>
          </cell>
          <cell r="AV2099" t="str">
            <v>10</v>
          </cell>
          <cell r="AW2099">
            <v>0</v>
          </cell>
          <cell r="AX2099">
            <v>0</v>
          </cell>
          <cell r="AY2099">
            <v>0</v>
          </cell>
          <cell r="AZ2099">
            <v>0</v>
          </cell>
          <cell r="BA2099">
            <v>0</v>
          </cell>
          <cell r="BD2099" t="str">
            <v/>
          </cell>
          <cell r="BE2099">
            <v>1</v>
          </cell>
          <cell r="BG2099" t="str">
            <v>1100</v>
          </cell>
        </row>
        <row r="2100">
          <cell r="B2100" t="str">
            <v>G442050206100200</v>
          </cell>
          <cell r="C2100" t="str">
            <v>44.大分県</v>
          </cell>
          <cell r="D2100" t="str">
            <v>205</v>
          </cell>
          <cell r="E2100" t="str">
            <v>佐伯市</v>
          </cell>
          <cell r="F2100" t="str">
            <v>02</v>
          </cell>
          <cell r="G2100" t="str">
            <v>特環 単独</v>
          </cell>
          <cell r="H2100" t="str">
            <v>特定環境保全公共下水道</v>
          </cell>
          <cell r="I2100" t="str">
            <v>単独</v>
          </cell>
          <cell r="J2100" t="str">
            <v>002</v>
          </cell>
          <cell r="K2100" t="str">
            <v>鶴見浄化センター</v>
          </cell>
          <cell r="M2100" t="str">
            <v>1</v>
          </cell>
          <cell r="N2100" t="str">
            <v>1</v>
          </cell>
          <cell r="P2100" t="str">
            <v>1</v>
          </cell>
          <cell r="Q2100">
            <v>35490</v>
          </cell>
          <cell r="R2100" t="str">
            <v>平成</v>
          </cell>
          <cell r="S2100">
            <v>9</v>
          </cell>
          <cell r="T2100">
            <v>3</v>
          </cell>
          <cell r="AB2100">
            <v>5940</v>
          </cell>
          <cell r="AC2100" t="str">
            <v>瀬戸内</v>
          </cell>
          <cell r="AD2100" t="str">
            <v>Ａ</v>
          </cell>
          <cell r="AE2100" t="str">
            <v>イ</v>
          </cell>
          <cell r="AF2100">
            <v>15</v>
          </cell>
          <cell r="AI2100" t="str">
            <v>佐伯湾</v>
          </cell>
          <cell r="AQ2100" t="str">
            <v/>
          </cell>
          <cell r="AR2100" t="str">
            <v>好気性ろ床法</v>
          </cell>
          <cell r="AS2100" t="str">
            <v>4420502002</v>
          </cell>
          <cell r="AT2100" t="str">
            <v/>
          </cell>
          <cell r="AU2100" t="str">
            <v>10</v>
          </cell>
          <cell r="AV2100" t="str">
            <v>10</v>
          </cell>
          <cell r="AW2100">
            <v>1</v>
          </cell>
          <cell r="AX2100">
            <v>0</v>
          </cell>
          <cell r="AY2100">
            <v>0</v>
          </cell>
          <cell r="AZ2100">
            <v>0</v>
          </cell>
          <cell r="BA2100">
            <v>0</v>
          </cell>
          <cell r="BD2100" t="str">
            <v/>
          </cell>
          <cell r="BE2100">
            <v>1</v>
          </cell>
          <cell r="BG2100" t="str">
            <v>1101</v>
          </cell>
        </row>
        <row r="2101">
          <cell r="B2101" t="str">
            <v>G442050206100300</v>
          </cell>
          <cell r="C2101" t="str">
            <v>44.大分県</v>
          </cell>
          <cell r="D2101" t="str">
            <v>205</v>
          </cell>
          <cell r="E2101" t="str">
            <v>佐伯市</v>
          </cell>
          <cell r="F2101" t="str">
            <v>02</v>
          </cell>
          <cell r="G2101" t="str">
            <v>特環 単独</v>
          </cell>
          <cell r="H2101" t="str">
            <v>特定環境保全公共下水道</v>
          </cell>
          <cell r="I2101" t="str">
            <v>単独</v>
          </cell>
          <cell r="J2101" t="str">
            <v>003</v>
          </cell>
          <cell r="K2101" t="str">
            <v>上浦浄化センター</v>
          </cell>
          <cell r="M2101" t="str">
            <v>1</v>
          </cell>
          <cell r="N2101" t="str">
            <v>1</v>
          </cell>
          <cell r="Q2101">
            <v>36617</v>
          </cell>
          <cell r="R2101" t="str">
            <v>平成</v>
          </cell>
          <cell r="S2101">
            <v>12</v>
          </cell>
          <cell r="T2101">
            <v>4</v>
          </cell>
          <cell r="AB2101">
            <v>2800</v>
          </cell>
          <cell r="AC2101" t="str">
            <v>瀬戸内</v>
          </cell>
          <cell r="AD2101" t="str">
            <v>Ａ</v>
          </cell>
          <cell r="AE2101" t="str">
            <v>イ</v>
          </cell>
          <cell r="AF2101">
            <v>15</v>
          </cell>
          <cell r="AI2101" t="str">
            <v>佐伯湾</v>
          </cell>
          <cell r="AL2101" t="str">
            <v>浅海井第１水源</v>
          </cell>
          <cell r="AM2101">
            <v>2</v>
          </cell>
          <cell r="AO2101" t="str">
            <v>佐伯市</v>
          </cell>
          <cell r="AQ2101" t="str">
            <v/>
          </cell>
          <cell r="AR2101" t="str">
            <v>オキシディションディッチ法</v>
          </cell>
          <cell r="AS2101" t="str">
            <v>4420502003</v>
          </cell>
          <cell r="AT2101" t="str">
            <v/>
          </cell>
          <cell r="AU2101" t="str">
            <v>10</v>
          </cell>
          <cell r="AV2101" t="str">
            <v>10</v>
          </cell>
          <cell r="AW2101">
            <v>0</v>
          </cell>
          <cell r="AX2101">
            <v>0</v>
          </cell>
          <cell r="AY2101">
            <v>0</v>
          </cell>
          <cell r="AZ2101">
            <v>0</v>
          </cell>
          <cell r="BA2101">
            <v>0</v>
          </cell>
          <cell r="BD2101" t="str">
            <v/>
          </cell>
          <cell r="BE2101">
            <v>1</v>
          </cell>
          <cell r="BG2101" t="str">
            <v>1100</v>
          </cell>
        </row>
        <row r="2102">
          <cell r="B2102" t="str">
            <v>G442050206100400</v>
          </cell>
          <cell r="C2102" t="str">
            <v>44.大分県</v>
          </cell>
          <cell r="D2102" t="str">
            <v>205</v>
          </cell>
          <cell r="E2102" t="str">
            <v>佐伯市</v>
          </cell>
          <cell r="F2102" t="str">
            <v>02</v>
          </cell>
          <cell r="G2102" t="str">
            <v>特環 単独</v>
          </cell>
          <cell r="H2102" t="str">
            <v>特定環境保全公共下水道</v>
          </cell>
          <cell r="I2102" t="str">
            <v>単独</v>
          </cell>
          <cell r="J2102" t="str">
            <v>004</v>
          </cell>
          <cell r="K2102" t="str">
            <v>蒲江浄化センター</v>
          </cell>
          <cell r="M2102" t="str">
            <v>1</v>
          </cell>
          <cell r="Q2102">
            <v>41000</v>
          </cell>
          <cell r="R2102" t="str">
            <v>平成</v>
          </cell>
          <cell r="S2102">
            <v>24</v>
          </cell>
          <cell r="T2102">
            <v>4</v>
          </cell>
          <cell r="AB2102">
            <v>2100</v>
          </cell>
          <cell r="AC2102" t="str">
            <v>南海部郡地先</v>
          </cell>
          <cell r="AD2102" t="str">
            <v>Ａ</v>
          </cell>
          <cell r="AE2102" t="str">
            <v>イ</v>
          </cell>
          <cell r="AF2102">
            <v>15</v>
          </cell>
          <cell r="AG2102">
            <v>10</v>
          </cell>
          <cell r="AI2102" t="str">
            <v>蒲江湾</v>
          </cell>
          <cell r="AO2102" t="str">
            <v>佐伯市</v>
          </cell>
          <cell r="AQ2102" t="str">
            <v>新規</v>
          </cell>
          <cell r="AR2102" t="str">
            <v>循環式硝化脱窒法</v>
          </cell>
          <cell r="AS2102" t="str">
            <v>4420502004</v>
          </cell>
          <cell r="AT2102" t="str">
            <v/>
          </cell>
          <cell r="AU2102" t="str">
            <v>00</v>
          </cell>
          <cell r="AV2102" t="str">
            <v>00</v>
          </cell>
          <cell r="AW2102">
            <v>0</v>
          </cell>
          <cell r="AX2102">
            <v>0</v>
          </cell>
          <cell r="AY2102">
            <v>0</v>
          </cell>
          <cell r="AZ2102">
            <v>0</v>
          </cell>
          <cell r="BA2102">
            <v>0</v>
          </cell>
          <cell r="BB2102" t="str">
            <v>脱水休止</v>
          </cell>
          <cell r="BD2102" t="str">
            <v>脱水休止</v>
          </cell>
          <cell r="BE2102">
            <v>1</v>
          </cell>
          <cell r="BG2102" t="str">
            <v>1000</v>
          </cell>
        </row>
        <row r="2103">
          <cell r="B2103" t="str">
            <v>G442060106100100</v>
          </cell>
          <cell r="C2103" t="str">
            <v>44.大分県</v>
          </cell>
          <cell r="D2103" t="str">
            <v>206</v>
          </cell>
          <cell r="E2103" t="str">
            <v>臼杵市</v>
          </cell>
          <cell r="F2103" t="str">
            <v>01</v>
          </cell>
          <cell r="G2103" t="str">
            <v>公共 単独</v>
          </cell>
          <cell r="H2103" t="str">
            <v>公共下水道</v>
          </cell>
          <cell r="I2103" t="str">
            <v>単独</v>
          </cell>
          <cell r="J2103" t="str">
            <v>001</v>
          </cell>
          <cell r="K2103" t="str">
            <v>臼杵終末処理場</v>
          </cell>
          <cell r="M2103" t="str">
            <v>1</v>
          </cell>
          <cell r="N2103" t="str">
            <v>1</v>
          </cell>
          <cell r="Q2103">
            <v>30498</v>
          </cell>
          <cell r="R2103" t="str">
            <v>昭和</v>
          </cell>
          <cell r="S2103">
            <v>58</v>
          </cell>
          <cell r="T2103">
            <v>7</v>
          </cell>
          <cell r="AB2103">
            <v>22464</v>
          </cell>
          <cell r="AC2103" t="str">
            <v>瀬戸内海</v>
          </cell>
          <cell r="AD2103" t="str">
            <v>Ａ</v>
          </cell>
          <cell r="AE2103" t="str">
            <v>イ</v>
          </cell>
          <cell r="AF2103">
            <v>15</v>
          </cell>
          <cell r="AI2103" t="str">
            <v>豊後水道</v>
          </cell>
          <cell r="AQ2103" t="str">
            <v/>
          </cell>
          <cell r="AR2103" t="str">
            <v>標準活性汚泥法</v>
          </cell>
          <cell r="AS2103" t="str">
            <v>4420601001</v>
          </cell>
          <cell r="AT2103" t="str">
            <v/>
          </cell>
          <cell r="AU2103" t="str">
            <v>10</v>
          </cell>
          <cell r="AV2103" t="str">
            <v>10</v>
          </cell>
          <cell r="AW2103">
            <v>0</v>
          </cell>
          <cell r="AX2103">
            <v>0</v>
          </cell>
          <cell r="AY2103">
            <v>0</v>
          </cell>
          <cell r="AZ2103">
            <v>0</v>
          </cell>
          <cell r="BA2103">
            <v>0</v>
          </cell>
          <cell r="BD2103" t="str">
            <v/>
          </cell>
          <cell r="BE2103">
            <v>1</v>
          </cell>
          <cell r="BG2103" t="str">
            <v>1100</v>
          </cell>
        </row>
        <row r="2104">
          <cell r="B2104" t="str">
            <v>G442060206100200</v>
          </cell>
          <cell r="C2104" t="str">
            <v>44.大分県</v>
          </cell>
          <cell r="D2104" t="str">
            <v>206</v>
          </cell>
          <cell r="E2104" t="str">
            <v>臼杵市</v>
          </cell>
          <cell r="F2104" t="str">
            <v>02</v>
          </cell>
          <cell r="G2104" t="str">
            <v>特環 単独</v>
          </cell>
          <cell r="H2104" t="str">
            <v>特定環境保全公共下水道</v>
          </cell>
          <cell r="I2104" t="str">
            <v>単独</v>
          </cell>
          <cell r="J2104" t="str">
            <v>002</v>
          </cell>
          <cell r="K2104" t="str">
            <v>野津浄化センター</v>
          </cell>
          <cell r="M2104" t="str">
            <v>1</v>
          </cell>
          <cell r="N2104" t="str">
            <v>1</v>
          </cell>
          <cell r="Q2104">
            <v>36980</v>
          </cell>
          <cell r="R2104" t="str">
            <v>平成</v>
          </cell>
          <cell r="S2104">
            <v>13</v>
          </cell>
          <cell r="T2104">
            <v>3</v>
          </cell>
          <cell r="AB2104">
            <v>5289</v>
          </cell>
          <cell r="AC2104" t="str">
            <v>大野川</v>
          </cell>
          <cell r="AD2104" t="str">
            <v>Ａ</v>
          </cell>
          <cell r="AE2104" t="str">
            <v>イ</v>
          </cell>
          <cell r="AF2104">
            <v>15</v>
          </cell>
          <cell r="AK2104" t="str">
            <v>野津川</v>
          </cell>
          <cell r="AL2104" t="str">
            <v>竹下浄水場</v>
          </cell>
          <cell r="AM2104">
            <v>2</v>
          </cell>
          <cell r="AO2104" t="str">
            <v>臼杵市</v>
          </cell>
          <cell r="AQ2104" t="str">
            <v/>
          </cell>
          <cell r="AR2104" t="str">
            <v>オキシディションディッチ法</v>
          </cell>
          <cell r="AS2104" t="str">
            <v>4420602002</v>
          </cell>
          <cell r="AT2104" t="str">
            <v/>
          </cell>
          <cell r="AU2104" t="str">
            <v>10</v>
          </cell>
          <cell r="AV2104" t="str">
            <v>10</v>
          </cell>
          <cell r="AW2104">
            <v>0</v>
          </cell>
          <cell r="AX2104">
            <v>0</v>
          </cell>
          <cell r="AY2104">
            <v>0</v>
          </cell>
          <cell r="AZ2104">
            <v>0</v>
          </cell>
          <cell r="BA2104">
            <v>0</v>
          </cell>
          <cell r="BD2104" t="str">
            <v/>
          </cell>
          <cell r="BE2104">
            <v>1</v>
          </cell>
          <cell r="BG2104" t="str">
            <v>1100</v>
          </cell>
        </row>
        <row r="2105">
          <cell r="B2105" t="str">
            <v>G442070106100100</v>
          </cell>
          <cell r="C2105" t="str">
            <v>44.大分県</v>
          </cell>
          <cell r="D2105" t="str">
            <v>207</v>
          </cell>
          <cell r="E2105" t="str">
            <v>津久見市</v>
          </cell>
          <cell r="F2105" t="str">
            <v>01</v>
          </cell>
          <cell r="G2105" t="str">
            <v>公共 単独</v>
          </cell>
          <cell r="H2105" t="str">
            <v>公共下水道</v>
          </cell>
          <cell r="I2105" t="str">
            <v>単独</v>
          </cell>
          <cell r="J2105" t="str">
            <v>001</v>
          </cell>
          <cell r="K2105" t="str">
            <v>津久見終末処理場</v>
          </cell>
          <cell r="M2105" t="str">
            <v>1</v>
          </cell>
          <cell r="N2105" t="str">
            <v>1</v>
          </cell>
          <cell r="P2105" t="str">
            <v>1</v>
          </cell>
          <cell r="Q2105">
            <v>33694</v>
          </cell>
          <cell r="R2105" t="str">
            <v>平成</v>
          </cell>
          <cell r="S2105">
            <v>4</v>
          </cell>
          <cell r="T2105">
            <v>3</v>
          </cell>
          <cell r="AB2105">
            <v>20136</v>
          </cell>
          <cell r="AC2105" t="str">
            <v>津久見湾</v>
          </cell>
          <cell r="AD2105" t="str">
            <v>Ａ</v>
          </cell>
          <cell r="AE2105" t="str">
            <v>イ</v>
          </cell>
          <cell r="AF2105">
            <v>15</v>
          </cell>
          <cell r="AI2105" t="str">
            <v>津久見湾</v>
          </cell>
          <cell r="AQ2105" t="str">
            <v/>
          </cell>
          <cell r="AR2105" t="str">
            <v>標準活性汚泥法</v>
          </cell>
          <cell r="AS2105" t="str">
            <v>4420701001</v>
          </cell>
          <cell r="AT2105" t="str">
            <v/>
          </cell>
          <cell r="AU2105" t="str">
            <v>10</v>
          </cell>
          <cell r="AV2105" t="str">
            <v>10</v>
          </cell>
          <cell r="AW2105">
            <v>1</v>
          </cell>
          <cell r="AX2105">
            <v>0</v>
          </cell>
          <cell r="AY2105">
            <v>0</v>
          </cell>
          <cell r="AZ2105">
            <v>0</v>
          </cell>
          <cell r="BA2105">
            <v>0</v>
          </cell>
          <cell r="BD2105" t="str">
            <v/>
          </cell>
          <cell r="BE2105">
            <v>1</v>
          </cell>
          <cell r="BG2105" t="str">
            <v>1101</v>
          </cell>
        </row>
        <row r="2106">
          <cell r="B2106" t="str">
            <v>G442090106100100</v>
          </cell>
          <cell r="C2106" t="str">
            <v>44.大分県</v>
          </cell>
          <cell r="D2106" t="str">
            <v>209</v>
          </cell>
          <cell r="E2106" t="str">
            <v>豊後高田市</v>
          </cell>
          <cell r="F2106" t="str">
            <v>01</v>
          </cell>
          <cell r="G2106" t="str">
            <v>公共 単独</v>
          </cell>
          <cell r="H2106" t="str">
            <v>公共下水道</v>
          </cell>
          <cell r="I2106" t="str">
            <v>単独</v>
          </cell>
          <cell r="J2106" t="str">
            <v>001</v>
          </cell>
          <cell r="K2106" t="str">
            <v>豊後高田市終末処理場</v>
          </cell>
          <cell r="M2106" t="str">
            <v>1</v>
          </cell>
          <cell r="N2106" t="str">
            <v>1</v>
          </cell>
          <cell r="Q2106">
            <v>34029</v>
          </cell>
          <cell r="R2106" t="str">
            <v>平成</v>
          </cell>
          <cell r="S2106">
            <v>5</v>
          </cell>
          <cell r="T2106">
            <v>3</v>
          </cell>
          <cell r="AB2106">
            <v>24170</v>
          </cell>
          <cell r="AC2106" t="str">
            <v>周防灘</v>
          </cell>
          <cell r="AD2106" t="str">
            <v>Ａ</v>
          </cell>
          <cell r="AE2106" t="str">
            <v>ハ</v>
          </cell>
          <cell r="AF2106">
            <v>15</v>
          </cell>
          <cell r="AG2106">
            <v>20</v>
          </cell>
          <cell r="AH2106">
            <v>2</v>
          </cell>
          <cell r="AI2106" t="str">
            <v>豊前海</v>
          </cell>
          <cell r="AQ2106" t="str">
            <v/>
          </cell>
          <cell r="AR2106" t="str">
            <v>オキシディションディッチ法</v>
          </cell>
          <cell r="AS2106" t="str">
            <v>4420901001</v>
          </cell>
          <cell r="AT2106" t="str">
            <v/>
          </cell>
          <cell r="AU2106" t="str">
            <v>10</v>
          </cell>
          <cell r="AV2106" t="str">
            <v>10</v>
          </cell>
          <cell r="AW2106">
            <v>0</v>
          </cell>
          <cell r="AX2106">
            <v>0</v>
          </cell>
          <cell r="AY2106">
            <v>0</v>
          </cell>
          <cell r="AZ2106">
            <v>0</v>
          </cell>
          <cell r="BA2106">
            <v>0</v>
          </cell>
          <cell r="BD2106" t="str">
            <v/>
          </cell>
          <cell r="BE2106">
            <v>1</v>
          </cell>
          <cell r="BG2106" t="str">
            <v>1100</v>
          </cell>
        </row>
        <row r="2107">
          <cell r="B2107" t="str">
            <v>G442090206100200</v>
          </cell>
          <cell r="C2107" t="str">
            <v>44.大分県</v>
          </cell>
          <cell r="D2107" t="str">
            <v>209</v>
          </cell>
          <cell r="E2107" t="str">
            <v>豊後高田市</v>
          </cell>
          <cell r="F2107" t="str">
            <v>02</v>
          </cell>
          <cell r="G2107" t="str">
            <v>特環 単独</v>
          </cell>
          <cell r="H2107" t="str">
            <v>特定環境保全公共下水道</v>
          </cell>
          <cell r="I2107" t="str">
            <v>単独</v>
          </cell>
          <cell r="J2107" t="str">
            <v>002</v>
          </cell>
          <cell r="K2107" t="str">
            <v>真玉浄化センター</v>
          </cell>
          <cell r="M2107" t="str">
            <v>1</v>
          </cell>
          <cell r="N2107" t="str">
            <v>1</v>
          </cell>
          <cell r="Q2107">
            <v>39142</v>
          </cell>
          <cell r="R2107" t="str">
            <v>平成</v>
          </cell>
          <cell r="S2107">
            <v>19</v>
          </cell>
          <cell r="T2107">
            <v>3</v>
          </cell>
          <cell r="AB2107">
            <v>2627</v>
          </cell>
          <cell r="AC2107" t="str">
            <v>周防灘</v>
          </cell>
          <cell r="AD2107" t="str">
            <v>Ａ</v>
          </cell>
          <cell r="AE2107" t="str">
            <v>イ</v>
          </cell>
          <cell r="AF2107">
            <v>15</v>
          </cell>
          <cell r="AI2107" t="str">
            <v>真玉漁港</v>
          </cell>
          <cell r="AQ2107" t="str">
            <v/>
          </cell>
          <cell r="AR2107" t="str">
            <v>オキシディションディッチ法</v>
          </cell>
          <cell r="AS2107" t="str">
            <v>4420902002</v>
          </cell>
          <cell r="AT2107" t="str">
            <v/>
          </cell>
          <cell r="AU2107" t="str">
            <v>10</v>
          </cell>
          <cell r="AV2107" t="str">
            <v>10</v>
          </cell>
          <cell r="AW2107">
            <v>0</v>
          </cell>
          <cell r="AX2107">
            <v>0</v>
          </cell>
          <cell r="AY2107">
            <v>0</v>
          </cell>
          <cell r="AZ2107">
            <v>0</v>
          </cell>
          <cell r="BA2107">
            <v>0</v>
          </cell>
          <cell r="BD2107" t="str">
            <v/>
          </cell>
          <cell r="BE2107">
            <v>1</v>
          </cell>
          <cell r="BG2107" t="str">
            <v>1100</v>
          </cell>
        </row>
        <row r="2108">
          <cell r="B2108" t="str">
            <v>G442090206100300</v>
          </cell>
          <cell r="C2108" t="str">
            <v>44.大分県</v>
          </cell>
          <cell r="D2108" t="str">
            <v>209</v>
          </cell>
          <cell r="E2108" t="str">
            <v>豊後高田市</v>
          </cell>
          <cell r="F2108" t="str">
            <v>02</v>
          </cell>
          <cell r="G2108" t="str">
            <v>特環 単独</v>
          </cell>
          <cell r="H2108" t="str">
            <v>特定環境保全公共下水道</v>
          </cell>
          <cell r="I2108" t="str">
            <v>単独</v>
          </cell>
          <cell r="J2108" t="str">
            <v>003</v>
          </cell>
          <cell r="K2108" t="str">
            <v>香々地浄化センター</v>
          </cell>
          <cell r="M2108" t="str">
            <v>1</v>
          </cell>
          <cell r="N2108" t="str">
            <v>1</v>
          </cell>
          <cell r="Q2108">
            <v>39142</v>
          </cell>
          <cell r="R2108" t="str">
            <v>平成</v>
          </cell>
          <cell r="S2108">
            <v>19</v>
          </cell>
          <cell r="T2108">
            <v>3</v>
          </cell>
          <cell r="AB2108">
            <v>6182</v>
          </cell>
          <cell r="AC2108" t="str">
            <v>周防灘</v>
          </cell>
          <cell r="AD2108" t="str">
            <v>Ａ</v>
          </cell>
          <cell r="AE2108" t="str">
            <v>イ</v>
          </cell>
          <cell r="AF2108">
            <v>15</v>
          </cell>
          <cell r="AJ2108" t="str">
            <v>竹田川</v>
          </cell>
          <cell r="AQ2108" t="str">
            <v/>
          </cell>
          <cell r="AR2108" t="str">
            <v>オキシディションディッチ法</v>
          </cell>
          <cell r="AS2108" t="str">
            <v>4420902003</v>
          </cell>
          <cell r="AT2108" t="str">
            <v/>
          </cell>
          <cell r="AU2108" t="str">
            <v>10</v>
          </cell>
          <cell r="AV2108" t="str">
            <v>10</v>
          </cell>
          <cell r="AW2108">
            <v>0</v>
          </cell>
          <cell r="AX2108">
            <v>0</v>
          </cell>
          <cell r="AY2108">
            <v>0</v>
          </cell>
          <cell r="AZ2108">
            <v>0</v>
          </cell>
          <cell r="BA2108">
            <v>0</v>
          </cell>
          <cell r="BD2108" t="str">
            <v/>
          </cell>
          <cell r="BE2108">
            <v>1</v>
          </cell>
          <cell r="BG2108" t="str">
            <v>1100</v>
          </cell>
        </row>
        <row r="2109">
          <cell r="B2109" t="str">
            <v>G442100106100100</v>
          </cell>
          <cell r="C2109" t="str">
            <v>44.大分県</v>
          </cell>
          <cell r="D2109" t="str">
            <v>210</v>
          </cell>
          <cell r="E2109" t="str">
            <v>杵築市</v>
          </cell>
          <cell r="F2109" t="str">
            <v>01</v>
          </cell>
          <cell r="G2109" t="str">
            <v>公共 単独</v>
          </cell>
          <cell r="H2109" t="str">
            <v>公共下水道</v>
          </cell>
          <cell r="I2109" t="str">
            <v>単独</v>
          </cell>
          <cell r="J2109" t="str">
            <v>001</v>
          </cell>
          <cell r="K2109" t="str">
            <v>杵築終末処理場</v>
          </cell>
          <cell r="M2109" t="str">
            <v>1</v>
          </cell>
          <cell r="N2109" t="str">
            <v>1</v>
          </cell>
          <cell r="Q2109">
            <v>36586</v>
          </cell>
          <cell r="R2109" t="str">
            <v>平成</v>
          </cell>
          <cell r="S2109">
            <v>12</v>
          </cell>
          <cell r="T2109">
            <v>3</v>
          </cell>
          <cell r="V2109">
            <v>41243</v>
          </cell>
          <cell r="W2109" t="str">
            <v>平成</v>
          </cell>
          <cell r="X2109">
            <v>24</v>
          </cell>
          <cell r="Y2109">
            <v>11</v>
          </cell>
          <cell r="AB2109">
            <v>18200</v>
          </cell>
          <cell r="AC2109" t="str">
            <v>守江湾</v>
          </cell>
          <cell r="AD2109" t="str">
            <v>Ｂ</v>
          </cell>
          <cell r="AE2109" t="str">
            <v>イ</v>
          </cell>
          <cell r="AF2109">
            <v>15</v>
          </cell>
          <cell r="AI2109" t="str">
            <v>守江湾</v>
          </cell>
          <cell r="AQ2109" t="str">
            <v/>
          </cell>
          <cell r="AR2109" t="str">
            <v>オキシディションディッチ法</v>
          </cell>
          <cell r="AS2109" t="str">
            <v>4421001001</v>
          </cell>
          <cell r="AT2109" t="str">
            <v/>
          </cell>
          <cell r="AU2109" t="str">
            <v>10</v>
          </cell>
          <cell r="AV2109" t="str">
            <v>10</v>
          </cell>
          <cell r="AW2109">
            <v>0</v>
          </cell>
          <cell r="AX2109">
            <v>0</v>
          </cell>
          <cell r="AY2109">
            <v>0</v>
          </cell>
          <cell r="AZ2109">
            <v>0</v>
          </cell>
          <cell r="BA2109">
            <v>0</v>
          </cell>
          <cell r="BD2109" t="str">
            <v/>
          </cell>
          <cell r="BE2109">
            <v>1</v>
          </cell>
          <cell r="BG2109" t="str">
            <v>1100</v>
          </cell>
        </row>
        <row r="2110">
          <cell r="B2110" t="str">
            <v>G442100206100200</v>
          </cell>
          <cell r="C2110" t="str">
            <v>44.大分県</v>
          </cell>
          <cell r="D2110" t="str">
            <v>210</v>
          </cell>
          <cell r="E2110" t="str">
            <v>杵築市</v>
          </cell>
          <cell r="F2110" t="str">
            <v>02</v>
          </cell>
          <cell r="G2110" t="str">
            <v>特環 単独</v>
          </cell>
          <cell r="H2110" t="str">
            <v>特定環境保全公共下水道</v>
          </cell>
          <cell r="I2110" t="str">
            <v>単独</v>
          </cell>
          <cell r="J2110" t="str">
            <v>002</v>
          </cell>
          <cell r="K2110" t="str">
            <v>山香浄化センター</v>
          </cell>
          <cell r="M2110" t="str">
            <v>1</v>
          </cell>
          <cell r="N2110" t="str">
            <v>1</v>
          </cell>
          <cell r="Q2110">
            <v>36951</v>
          </cell>
          <cell r="R2110" t="str">
            <v>平成</v>
          </cell>
          <cell r="S2110">
            <v>13</v>
          </cell>
          <cell r="T2110">
            <v>3</v>
          </cell>
          <cell r="AB2110">
            <v>7730</v>
          </cell>
          <cell r="AC2110" t="str">
            <v>八坂川</v>
          </cell>
          <cell r="AD2110" t="str">
            <v>Ａ</v>
          </cell>
          <cell r="AE2110" t="str">
            <v>イ</v>
          </cell>
          <cell r="AF2110">
            <v>15</v>
          </cell>
          <cell r="AI2110" t="str">
            <v>立石川</v>
          </cell>
          <cell r="AJ2110" t="str">
            <v>八坂川</v>
          </cell>
          <cell r="AL2110" t="str">
            <v>杵築浄水場</v>
          </cell>
          <cell r="AN2110">
            <v>11.9</v>
          </cell>
          <cell r="AO2110" t="str">
            <v>杵築市</v>
          </cell>
          <cell r="AQ2110" t="str">
            <v/>
          </cell>
          <cell r="AR2110" t="str">
            <v>オキシディションディッチ法</v>
          </cell>
          <cell r="AS2110" t="str">
            <v>4421002002</v>
          </cell>
          <cell r="AT2110" t="str">
            <v/>
          </cell>
          <cell r="AU2110" t="str">
            <v>10</v>
          </cell>
          <cell r="AV2110" t="str">
            <v>10</v>
          </cell>
          <cell r="AW2110">
            <v>0</v>
          </cell>
          <cell r="AX2110">
            <v>0</v>
          </cell>
          <cell r="AY2110">
            <v>0</v>
          </cell>
          <cell r="AZ2110">
            <v>0</v>
          </cell>
          <cell r="BA2110">
            <v>0</v>
          </cell>
          <cell r="BD2110" t="str">
            <v/>
          </cell>
          <cell r="BE2110">
            <v>1</v>
          </cell>
          <cell r="BG2110" t="str">
            <v>1100</v>
          </cell>
        </row>
        <row r="2111">
          <cell r="B2111" t="str">
            <v>G442110106100100</v>
          </cell>
          <cell r="C2111" t="str">
            <v>44.大分県</v>
          </cell>
          <cell r="D2111" t="str">
            <v>211</v>
          </cell>
          <cell r="E2111" t="str">
            <v>宇佐市</v>
          </cell>
          <cell r="F2111" t="str">
            <v>01</v>
          </cell>
          <cell r="G2111" t="str">
            <v>公共 単独</v>
          </cell>
          <cell r="H2111" t="str">
            <v>公共下水道</v>
          </cell>
          <cell r="I2111" t="str">
            <v>単独</v>
          </cell>
          <cell r="J2111" t="str">
            <v>001</v>
          </cell>
          <cell r="K2111" t="str">
            <v>四日市・駅川浄化センター</v>
          </cell>
          <cell r="M2111" t="str">
            <v>1</v>
          </cell>
          <cell r="N2111" t="str">
            <v>1</v>
          </cell>
          <cell r="Q2111">
            <v>33664</v>
          </cell>
          <cell r="R2111" t="str">
            <v>平成</v>
          </cell>
          <cell r="S2111">
            <v>4</v>
          </cell>
          <cell r="T2111">
            <v>3</v>
          </cell>
          <cell r="AB2111">
            <v>19820</v>
          </cell>
          <cell r="AD2111" t="str">
            <v>Ａ</v>
          </cell>
          <cell r="AE2111" t="str">
            <v>イ</v>
          </cell>
          <cell r="AF2111">
            <v>13</v>
          </cell>
          <cell r="AG2111">
            <v>17</v>
          </cell>
          <cell r="AH2111">
            <v>1.6</v>
          </cell>
          <cell r="AI2111" t="str">
            <v>黒川</v>
          </cell>
          <cell r="AM2111">
            <v>5</v>
          </cell>
          <cell r="AO2111" t="str">
            <v>宇佐市</v>
          </cell>
          <cell r="AQ2111" t="str">
            <v/>
          </cell>
          <cell r="AR2111" t="str">
            <v>オキシディションディッチ法</v>
          </cell>
          <cell r="AS2111" t="str">
            <v>4421101001</v>
          </cell>
          <cell r="AT2111" t="str">
            <v/>
          </cell>
          <cell r="AU2111" t="str">
            <v>10</v>
          </cell>
          <cell r="AV2111" t="str">
            <v>10</v>
          </cell>
          <cell r="AW2111">
            <v>0</v>
          </cell>
          <cell r="AX2111">
            <v>0</v>
          </cell>
          <cell r="AY2111">
            <v>0</v>
          </cell>
          <cell r="AZ2111">
            <v>0</v>
          </cell>
          <cell r="BA2111">
            <v>0</v>
          </cell>
          <cell r="BD2111" t="str">
            <v/>
          </cell>
          <cell r="BE2111">
            <v>1</v>
          </cell>
          <cell r="BG2111" t="str">
            <v>1100</v>
          </cell>
        </row>
        <row r="2112">
          <cell r="B2112" t="str">
            <v>G442110206100200</v>
          </cell>
          <cell r="C2112" t="str">
            <v>44.大分県</v>
          </cell>
          <cell r="D2112" t="str">
            <v>211</v>
          </cell>
          <cell r="E2112" t="str">
            <v>宇佐市</v>
          </cell>
          <cell r="F2112" t="str">
            <v>02</v>
          </cell>
          <cell r="G2112" t="str">
            <v>特環 単独</v>
          </cell>
          <cell r="H2112" t="str">
            <v>特定環境保全公共下水道</v>
          </cell>
          <cell r="I2112" t="str">
            <v>単独</v>
          </cell>
          <cell r="J2112" t="str">
            <v>002</v>
          </cell>
          <cell r="K2112" t="str">
            <v>安心院浄化センター</v>
          </cell>
          <cell r="M2112" t="str">
            <v>1</v>
          </cell>
          <cell r="N2112" t="str">
            <v>1</v>
          </cell>
          <cell r="Q2112">
            <v>36951</v>
          </cell>
          <cell r="R2112" t="str">
            <v>平成</v>
          </cell>
          <cell r="S2112">
            <v>13</v>
          </cell>
          <cell r="T2112">
            <v>3</v>
          </cell>
          <cell r="AB2112">
            <v>11400</v>
          </cell>
          <cell r="AC2112" t="str">
            <v>駅館川水域</v>
          </cell>
          <cell r="AD2112" t="str">
            <v>Ａ</v>
          </cell>
          <cell r="AE2112" t="str">
            <v>イ</v>
          </cell>
          <cell r="AF2112">
            <v>20</v>
          </cell>
          <cell r="AJ2112" t="str">
            <v>深見川</v>
          </cell>
          <cell r="AL2112" t="str">
            <v>鷹柄取水口</v>
          </cell>
          <cell r="AN2112">
            <v>7</v>
          </cell>
          <cell r="AO2112" t="str">
            <v>宇佐市</v>
          </cell>
          <cell r="AQ2112" t="str">
            <v/>
          </cell>
          <cell r="AR2112" t="str">
            <v>オキシディションディッチ法</v>
          </cell>
          <cell r="AS2112" t="str">
            <v>4421102002</v>
          </cell>
          <cell r="AT2112" t="str">
            <v/>
          </cell>
          <cell r="AU2112" t="str">
            <v>10</v>
          </cell>
          <cell r="AV2112" t="str">
            <v>10</v>
          </cell>
          <cell r="AW2112">
            <v>0</v>
          </cell>
          <cell r="AX2112">
            <v>0</v>
          </cell>
          <cell r="AY2112">
            <v>0</v>
          </cell>
          <cell r="AZ2112">
            <v>0</v>
          </cell>
          <cell r="BA2112">
            <v>0</v>
          </cell>
          <cell r="BD2112" t="str">
            <v/>
          </cell>
          <cell r="BE2112">
            <v>1</v>
          </cell>
          <cell r="BG2112" t="str">
            <v>1100</v>
          </cell>
        </row>
        <row r="2113">
          <cell r="B2113" t="str">
            <v>G442120206100100</v>
          </cell>
          <cell r="C2113" t="str">
            <v>44.大分県</v>
          </cell>
          <cell r="D2113" t="str">
            <v>212</v>
          </cell>
          <cell r="E2113" t="str">
            <v>豊後大野市</v>
          </cell>
          <cell r="F2113" t="str">
            <v>02</v>
          </cell>
          <cell r="G2113" t="str">
            <v>特環 単独</v>
          </cell>
          <cell r="H2113" t="str">
            <v>特定環境保全公共下水道</v>
          </cell>
          <cell r="I2113" t="str">
            <v>単独</v>
          </cell>
          <cell r="J2113" t="str">
            <v>001</v>
          </cell>
          <cell r="K2113" t="str">
            <v>大野浄化センター</v>
          </cell>
          <cell r="M2113" t="str">
            <v>1</v>
          </cell>
          <cell r="N2113" t="str">
            <v>1</v>
          </cell>
          <cell r="Q2113">
            <v>36586</v>
          </cell>
          <cell r="R2113" t="str">
            <v>平成</v>
          </cell>
          <cell r="S2113">
            <v>12</v>
          </cell>
          <cell r="T2113">
            <v>3</v>
          </cell>
          <cell r="AB2113">
            <v>3513</v>
          </cell>
          <cell r="AC2113" t="str">
            <v>大野川上流</v>
          </cell>
          <cell r="AD2113" t="str">
            <v>Ａ</v>
          </cell>
          <cell r="AE2113" t="str">
            <v>イ</v>
          </cell>
          <cell r="AF2113">
            <v>1.9</v>
          </cell>
          <cell r="AK2113" t="str">
            <v>田代川</v>
          </cell>
          <cell r="AL2113" t="str">
            <v>西原上水場</v>
          </cell>
          <cell r="AN2113">
            <v>15</v>
          </cell>
          <cell r="AO2113" t="str">
            <v>豊後大野市</v>
          </cell>
          <cell r="AQ2113" t="str">
            <v/>
          </cell>
          <cell r="AR2113" t="str">
            <v>オキシディションディッチ法</v>
          </cell>
          <cell r="AS2113" t="str">
            <v>4421202001</v>
          </cell>
          <cell r="AT2113" t="str">
            <v/>
          </cell>
          <cell r="AU2113" t="str">
            <v>10</v>
          </cell>
          <cell r="AV2113" t="str">
            <v>10</v>
          </cell>
          <cell r="AW2113">
            <v>0</v>
          </cell>
          <cell r="AX2113">
            <v>0</v>
          </cell>
          <cell r="AY2113">
            <v>0</v>
          </cell>
          <cell r="AZ2113">
            <v>0</v>
          </cell>
          <cell r="BA2113">
            <v>0</v>
          </cell>
          <cell r="BD2113" t="str">
            <v/>
          </cell>
          <cell r="BE2113">
            <v>1</v>
          </cell>
          <cell r="BG2113" t="str">
            <v>1100</v>
          </cell>
        </row>
        <row r="2114">
          <cell r="B2114" t="str">
            <v>G442140106100100</v>
          </cell>
          <cell r="C2114" t="str">
            <v>44.大分県</v>
          </cell>
          <cell r="D2114" t="str">
            <v>214</v>
          </cell>
          <cell r="E2114" t="str">
            <v>国東市</v>
          </cell>
          <cell r="F2114" t="str">
            <v>01</v>
          </cell>
          <cell r="G2114" t="str">
            <v>公共 単独</v>
          </cell>
          <cell r="H2114" t="str">
            <v>公共下水道</v>
          </cell>
          <cell r="I2114" t="str">
            <v>単独</v>
          </cell>
          <cell r="J2114" t="str">
            <v>001</v>
          </cell>
          <cell r="K2114" t="str">
            <v>国東浄化センター</v>
          </cell>
          <cell r="M2114" t="str">
            <v>1</v>
          </cell>
          <cell r="N2114" t="str">
            <v>1</v>
          </cell>
          <cell r="Q2114">
            <v>35855</v>
          </cell>
          <cell r="R2114" t="str">
            <v>平成</v>
          </cell>
          <cell r="S2114">
            <v>10</v>
          </cell>
          <cell r="T2114">
            <v>3</v>
          </cell>
          <cell r="AB2114">
            <v>17429</v>
          </cell>
          <cell r="AC2114" t="str">
            <v>国東半島地先</v>
          </cell>
          <cell r="AD2114" t="str">
            <v>Ａ</v>
          </cell>
          <cell r="AE2114" t="str">
            <v>イ</v>
          </cell>
          <cell r="AF2114">
            <v>15</v>
          </cell>
          <cell r="AJ2114" t="str">
            <v>三尾谷川</v>
          </cell>
          <cell r="AQ2114" t="str">
            <v/>
          </cell>
          <cell r="AR2114" t="str">
            <v>オキシディションディッチ法</v>
          </cell>
          <cell r="AS2114" t="str">
            <v>4421401001</v>
          </cell>
          <cell r="AT2114" t="str">
            <v/>
          </cell>
          <cell r="AU2114" t="str">
            <v>10</v>
          </cell>
          <cell r="AV2114" t="str">
            <v>10</v>
          </cell>
          <cell r="AW2114">
            <v>0</v>
          </cell>
          <cell r="AX2114">
            <v>0</v>
          </cell>
          <cell r="AY2114">
            <v>0</v>
          </cell>
          <cell r="AZ2114">
            <v>0</v>
          </cell>
          <cell r="BA2114">
            <v>0</v>
          </cell>
          <cell r="BD2114" t="str">
            <v/>
          </cell>
          <cell r="BE2114">
            <v>1</v>
          </cell>
          <cell r="BG2114" t="str">
            <v>1100</v>
          </cell>
        </row>
        <row r="2115">
          <cell r="B2115" t="str">
            <v>G442140206100200</v>
          </cell>
          <cell r="C2115" t="str">
            <v>44.大分県</v>
          </cell>
          <cell r="D2115" t="str">
            <v>214</v>
          </cell>
          <cell r="E2115" t="str">
            <v>国東市</v>
          </cell>
          <cell r="F2115" t="str">
            <v>02</v>
          </cell>
          <cell r="G2115" t="str">
            <v>特環 単独</v>
          </cell>
          <cell r="H2115" t="str">
            <v>特定環境保全公共下水道</v>
          </cell>
          <cell r="I2115" t="str">
            <v>単独</v>
          </cell>
          <cell r="J2115" t="str">
            <v>002</v>
          </cell>
          <cell r="K2115" t="str">
            <v>武蔵浄化センター</v>
          </cell>
          <cell r="M2115" t="str">
            <v>1</v>
          </cell>
          <cell r="N2115" t="str">
            <v>1</v>
          </cell>
          <cell r="Q2115">
            <v>35490</v>
          </cell>
          <cell r="R2115" t="str">
            <v>平成</v>
          </cell>
          <cell r="S2115">
            <v>9</v>
          </cell>
          <cell r="T2115">
            <v>3</v>
          </cell>
          <cell r="AB2115">
            <v>13600</v>
          </cell>
          <cell r="AC2115" t="str">
            <v>国東半島地先</v>
          </cell>
          <cell r="AD2115" t="str">
            <v>Ａ</v>
          </cell>
          <cell r="AE2115" t="str">
            <v>イ</v>
          </cell>
          <cell r="AF2115">
            <v>14</v>
          </cell>
          <cell r="AI2115" t="str">
            <v>準用河川　藤本川</v>
          </cell>
          <cell r="AL2115" t="str">
            <v>三井寺第４水源地</v>
          </cell>
          <cell r="AM2115">
            <v>3</v>
          </cell>
          <cell r="AO2115" t="str">
            <v>国東市武蔵町</v>
          </cell>
          <cell r="AQ2115" t="str">
            <v/>
          </cell>
          <cell r="AR2115" t="str">
            <v>オキシディションディッチ法</v>
          </cell>
          <cell r="AS2115" t="str">
            <v>4421402002</v>
          </cell>
          <cell r="AT2115" t="str">
            <v/>
          </cell>
          <cell r="AU2115" t="str">
            <v>10</v>
          </cell>
          <cell r="AV2115" t="str">
            <v>10</v>
          </cell>
          <cell r="AW2115">
            <v>0</v>
          </cell>
          <cell r="AX2115">
            <v>0</v>
          </cell>
          <cell r="AY2115">
            <v>0</v>
          </cell>
          <cell r="AZ2115">
            <v>0</v>
          </cell>
          <cell r="BA2115">
            <v>0</v>
          </cell>
          <cell r="BD2115" t="str">
            <v/>
          </cell>
          <cell r="BE2115">
            <v>1</v>
          </cell>
          <cell r="BG2115" t="str">
            <v>1100</v>
          </cell>
        </row>
        <row r="2116">
          <cell r="B2116" t="str">
            <v>G442140206100300</v>
          </cell>
          <cell r="C2116" t="str">
            <v>44.大分県</v>
          </cell>
          <cell r="D2116" t="str">
            <v>214</v>
          </cell>
          <cell r="E2116" t="str">
            <v>国東市</v>
          </cell>
          <cell r="F2116" t="str">
            <v>02</v>
          </cell>
          <cell r="G2116" t="str">
            <v>特環 単独</v>
          </cell>
          <cell r="H2116" t="str">
            <v>特定環境保全公共下水道</v>
          </cell>
          <cell r="I2116" t="str">
            <v>単独</v>
          </cell>
          <cell r="J2116" t="str">
            <v>003</v>
          </cell>
          <cell r="K2116" t="str">
            <v>国見浄化センター</v>
          </cell>
          <cell r="M2116" t="str">
            <v>1</v>
          </cell>
          <cell r="N2116" t="str">
            <v>1</v>
          </cell>
          <cell r="Q2116">
            <v>35855</v>
          </cell>
          <cell r="R2116" t="str">
            <v>平成</v>
          </cell>
          <cell r="S2116">
            <v>10</v>
          </cell>
          <cell r="T2116">
            <v>3</v>
          </cell>
          <cell r="AB2116">
            <v>5400</v>
          </cell>
          <cell r="AC2116" t="str">
            <v>国東半島地先</v>
          </cell>
          <cell r="AD2116" t="str">
            <v>Ａ</v>
          </cell>
          <cell r="AE2116" t="str">
            <v>イ</v>
          </cell>
          <cell r="AF2116">
            <v>20</v>
          </cell>
          <cell r="AI2116" t="str">
            <v>周防灘</v>
          </cell>
          <cell r="AQ2116" t="str">
            <v/>
          </cell>
          <cell r="AR2116" t="str">
            <v>オキシディションディッチ法</v>
          </cell>
          <cell r="AS2116" t="str">
            <v>4421402003</v>
          </cell>
          <cell r="AT2116" t="str">
            <v/>
          </cell>
          <cell r="AU2116" t="str">
            <v>10</v>
          </cell>
          <cell r="AV2116" t="str">
            <v>10</v>
          </cell>
          <cell r="AW2116">
            <v>0</v>
          </cell>
          <cell r="AX2116">
            <v>0</v>
          </cell>
          <cell r="AY2116">
            <v>0</v>
          </cell>
          <cell r="AZ2116">
            <v>0</v>
          </cell>
          <cell r="BA2116">
            <v>0</v>
          </cell>
          <cell r="BD2116" t="str">
            <v/>
          </cell>
          <cell r="BE2116">
            <v>1</v>
          </cell>
          <cell r="BG2116" t="str">
            <v>1100</v>
          </cell>
        </row>
        <row r="2117">
          <cell r="B2117" t="str">
            <v>G442140206100400</v>
          </cell>
          <cell r="C2117" t="str">
            <v>44.大分県</v>
          </cell>
          <cell r="D2117" t="str">
            <v>214</v>
          </cell>
          <cell r="E2117" t="str">
            <v>国東市</v>
          </cell>
          <cell r="F2117" t="str">
            <v>02</v>
          </cell>
          <cell r="G2117" t="str">
            <v>特環 単独</v>
          </cell>
          <cell r="H2117" t="str">
            <v>特定環境保全公共下水道</v>
          </cell>
          <cell r="I2117" t="str">
            <v>単独</v>
          </cell>
          <cell r="J2117" t="str">
            <v>004</v>
          </cell>
          <cell r="K2117" t="str">
            <v>安岐浄化センター</v>
          </cell>
          <cell r="M2117" t="str">
            <v>1</v>
          </cell>
          <cell r="N2117" t="str">
            <v>1</v>
          </cell>
          <cell r="Q2117">
            <v>36220</v>
          </cell>
          <cell r="R2117" t="str">
            <v>平成</v>
          </cell>
          <cell r="S2117">
            <v>11</v>
          </cell>
          <cell r="T2117">
            <v>3</v>
          </cell>
          <cell r="AB2117">
            <v>17500</v>
          </cell>
          <cell r="AC2117" t="str">
            <v>国東半島地先</v>
          </cell>
          <cell r="AD2117" t="str">
            <v>Ａ</v>
          </cell>
          <cell r="AE2117" t="str">
            <v>イ</v>
          </cell>
          <cell r="AF2117">
            <v>15</v>
          </cell>
          <cell r="AJ2117" t="str">
            <v>安岐川</v>
          </cell>
          <cell r="AQ2117" t="str">
            <v/>
          </cell>
          <cell r="AR2117" t="str">
            <v>オキシディションディッチ法</v>
          </cell>
          <cell r="AS2117" t="str">
            <v>4421402004</v>
          </cell>
          <cell r="AT2117" t="str">
            <v/>
          </cell>
          <cell r="AU2117" t="str">
            <v>10</v>
          </cell>
          <cell r="AV2117" t="str">
            <v>10</v>
          </cell>
          <cell r="AW2117">
            <v>0</v>
          </cell>
          <cell r="AX2117">
            <v>0</v>
          </cell>
          <cell r="AY2117">
            <v>0</v>
          </cell>
          <cell r="AZ2117">
            <v>0</v>
          </cell>
          <cell r="BA2117">
            <v>0</v>
          </cell>
          <cell r="BD2117" t="str">
            <v/>
          </cell>
          <cell r="BE2117">
            <v>1</v>
          </cell>
          <cell r="BG2117" t="str">
            <v>1100</v>
          </cell>
        </row>
        <row r="2118">
          <cell r="B2118" t="str">
            <v>G443220206100100</v>
          </cell>
          <cell r="C2118" t="str">
            <v>44.大分県</v>
          </cell>
          <cell r="D2118" t="str">
            <v>322</v>
          </cell>
          <cell r="E2118" t="str">
            <v>姫島村</v>
          </cell>
          <cell r="F2118" t="str">
            <v>02</v>
          </cell>
          <cell r="G2118" t="str">
            <v>特環 単独</v>
          </cell>
          <cell r="H2118" t="str">
            <v>特定環境保全公共下水道</v>
          </cell>
          <cell r="I2118" t="str">
            <v>単独</v>
          </cell>
          <cell r="J2118" t="str">
            <v>001</v>
          </cell>
          <cell r="K2118" t="str">
            <v>姫島浄化センター</v>
          </cell>
          <cell r="M2118" t="str">
            <v>1</v>
          </cell>
          <cell r="N2118" t="str">
            <v>1</v>
          </cell>
          <cell r="Q2118">
            <v>35125</v>
          </cell>
          <cell r="R2118" t="str">
            <v>平成</v>
          </cell>
          <cell r="S2118">
            <v>8</v>
          </cell>
          <cell r="T2118">
            <v>3</v>
          </cell>
          <cell r="AB2118">
            <v>10745</v>
          </cell>
          <cell r="AC2118" t="str">
            <v>国東半島地先海域</v>
          </cell>
          <cell r="AD2118" t="str">
            <v>Ａ</v>
          </cell>
          <cell r="AE2118" t="str">
            <v>イ</v>
          </cell>
          <cell r="AI2118" t="str">
            <v>周防灘</v>
          </cell>
          <cell r="AQ2118" t="str">
            <v/>
          </cell>
          <cell r="AR2118" t="str">
            <v>オキシディションディッチ法</v>
          </cell>
          <cell r="AS2118" t="str">
            <v>4432202001</v>
          </cell>
          <cell r="AT2118" t="str">
            <v/>
          </cell>
          <cell r="AU2118" t="str">
            <v>10</v>
          </cell>
          <cell r="AV2118" t="str">
            <v>10</v>
          </cell>
          <cell r="AW2118">
            <v>0</v>
          </cell>
          <cell r="AX2118">
            <v>0</v>
          </cell>
          <cell r="AY2118">
            <v>0</v>
          </cell>
          <cell r="AZ2118">
            <v>0</v>
          </cell>
          <cell r="BA2118">
            <v>0</v>
          </cell>
          <cell r="BD2118" t="str">
            <v/>
          </cell>
          <cell r="BE2118">
            <v>1</v>
          </cell>
          <cell r="BG2118" t="str">
            <v>1100</v>
          </cell>
        </row>
        <row r="2119">
          <cell r="B2119" t="str">
            <v>G443410106100100</v>
          </cell>
          <cell r="C2119" t="str">
            <v>44.大分県</v>
          </cell>
          <cell r="D2119" t="str">
            <v>341</v>
          </cell>
          <cell r="E2119" t="str">
            <v>日出町</v>
          </cell>
          <cell r="F2119" t="str">
            <v>01</v>
          </cell>
          <cell r="G2119" t="str">
            <v>公共 単独</v>
          </cell>
          <cell r="H2119" t="str">
            <v>公共下水道</v>
          </cell>
          <cell r="I2119" t="str">
            <v>単独</v>
          </cell>
          <cell r="J2119" t="str">
            <v>001</v>
          </cell>
          <cell r="K2119" t="str">
            <v>日出町浄化センター</v>
          </cell>
          <cell r="M2119" t="str">
            <v>1</v>
          </cell>
          <cell r="N2119" t="str">
            <v>1</v>
          </cell>
          <cell r="P2119" t="str">
            <v>1</v>
          </cell>
          <cell r="Q2119">
            <v>31503</v>
          </cell>
          <cell r="R2119" t="str">
            <v>昭和</v>
          </cell>
          <cell r="S2119">
            <v>61</v>
          </cell>
          <cell r="T2119">
            <v>4</v>
          </cell>
          <cell r="AB2119">
            <v>19500</v>
          </cell>
          <cell r="AC2119" t="str">
            <v>別府湾Ａ</v>
          </cell>
          <cell r="AE2119" t="str">
            <v>イ</v>
          </cell>
          <cell r="AF2119">
            <v>15</v>
          </cell>
          <cell r="AJ2119" t="str">
            <v>宮川</v>
          </cell>
          <cell r="AL2119" t="str">
            <v>出水</v>
          </cell>
          <cell r="AM2119">
            <v>2.8</v>
          </cell>
          <cell r="AO2119" t="str">
            <v>日出町</v>
          </cell>
          <cell r="AQ2119" t="str">
            <v/>
          </cell>
          <cell r="AR2119" t="str">
            <v>標準活性汚泥法</v>
          </cell>
          <cell r="AS2119" t="str">
            <v>4434101001</v>
          </cell>
          <cell r="AT2119" t="str">
            <v/>
          </cell>
          <cell r="AU2119" t="str">
            <v>10</v>
          </cell>
          <cell r="AV2119" t="str">
            <v>10</v>
          </cell>
          <cell r="AW2119">
            <v>1</v>
          </cell>
          <cell r="AX2119">
            <v>0</v>
          </cell>
          <cell r="AY2119">
            <v>0</v>
          </cell>
          <cell r="AZ2119">
            <v>0</v>
          </cell>
          <cell r="BA2119">
            <v>0</v>
          </cell>
          <cell r="BD2119" t="str">
            <v/>
          </cell>
          <cell r="BE2119">
            <v>1</v>
          </cell>
          <cell r="BG2119" t="str">
            <v>1101</v>
          </cell>
        </row>
        <row r="2120">
          <cell r="B2120" t="str">
            <v>G452010106100100</v>
          </cell>
          <cell r="C2120" t="str">
            <v>45.宮崎県</v>
          </cell>
          <cell r="D2120" t="str">
            <v>201</v>
          </cell>
          <cell r="E2120" t="str">
            <v>宮崎市</v>
          </cell>
          <cell r="F2120" t="str">
            <v>01</v>
          </cell>
          <cell r="G2120" t="str">
            <v>公共 単独</v>
          </cell>
          <cell r="H2120" t="str">
            <v>公共下水道</v>
          </cell>
          <cell r="I2120" t="str">
            <v>単独</v>
          </cell>
          <cell r="J2120" t="str">
            <v>001</v>
          </cell>
          <cell r="K2120" t="str">
            <v>宮崎処理場</v>
          </cell>
          <cell r="M2120" t="str">
            <v>1</v>
          </cell>
          <cell r="N2120" t="str">
            <v>1</v>
          </cell>
          <cell r="O2120" t="str">
            <v>1</v>
          </cell>
          <cell r="P2120" t="str">
            <v>1</v>
          </cell>
          <cell r="Q2120">
            <v>28611</v>
          </cell>
          <cell r="R2120" t="str">
            <v>昭和</v>
          </cell>
          <cell r="S2120">
            <v>53</v>
          </cell>
          <cell r="T2120">
            <v>5</v>
          </cell>
          <cell r="AB2120">
            <v>67350</v>
          </cell>
          <cell r="AC2120" t="str">
            <v>大淀川下流</v>
          </cell>
          <cell r="AD2120" t="str">
            <v>Ａ</v>
          </cell>
          <cell r="AE2120" t="str">
            <v>ロ</v>
          </cell>
          <cell r="AF2120">
            <v>15</v>
          </cell>
          <cell r="AK2120" t="str">
            <v>大淀川</v>
          </cell>
          <cell r="AL2120" t="str">
            <v>柏田水源池</v>
          </cell>
          <cell r="AM2120">
            <v>9.8000000000000007</v>
          </cell>
          <cell r="AO2120" t="str">
            <v>宮崎市</v>
          </cell>
          <cell r="AQ2120" t="str">
            <v/>
          </cell>
          <cell r="AR2120" t="str">
            <v>標準活性汚泥法</v>
          </cell>
          <cell r="AS2120" t="str">
            <v>4520101001</v>
          </cell>
          <cell r="AT2120" t="str">
            <v/>
          </cell>
          <cell r="AU2120" t="str">
            <v>11</v>
          </cell>
          <cell r="AV2120" t="str">
            <v>11</v>
          </cell>
          <cell r="AW2120">
            <v>1</v>
          </cell>
          <cell r="AX2120">
            <v>0</v>
          </cell>
          <cell r="AY2120">
            <v>0</v>
          </cell>
          <cell r="AZ2120">
            <v>0</v>
          </cell>
          <cell r="BA2120">
            <v>0</v>
          </cell>
          <cell r="BD2120" t="str">
            <v/>
          </cell>
          <cell r="BE2120">
            <v>1</v>
          </cell>
          <cell r="BG2120" t="str">
            <v>1111</v>
          </cell>
        </row>
        <row r="2121">
          <cell r="B2121" t="str">
            <v>G452010106100200</v>
          </cell>
          <cell r="C2121" t="str">
            <v>45.宮崎県</v>
          </cell>
          <cell r="D2121" t="str">
            <v>201</v>
          </cell>
          <cell r="E2121" t="str">
            <v>宮崎市</v>
          </cell>
          <cell r="F2121" t="str">
            <v>01</v>
          </cell>
          <cell r="G2121" t="str">
            <v>公共 単独</v>
          </cell>
          <cell r="H2121" t="str">
            <v>公共下水道</v>
          </cell>
          <cell r="I2121" t="str">
            <v>単独</v>
          </cell>
          <cell r="J2121" t="str">
            <v>002</v>
          </cell>
          <cell r="K2121" t="str">
            <v>木花処理場</v>
          </cell>
          <cell r="M2121" t="str">
            <v>1</v>
          </cell>
          <cell r="N2121" t="str">
            <v>1</v>
          </cell>
          <cell r="Q2121">
            <v>30926</v>
          </cell>
          <cell r="R2121" t="str">
            <v>昭和</v>
          </cell>
          <cell r="S2121">
            <v>59</v>
          </cell>
          <cell r="T2121">
            <v>9</v>
          </cell>
          <cell r="AB2121">
            <v>2300</v>
          </cell>
          <cell r="AC2121" t="str">
            <v>清武川</v>
          </cell>
          <cell r="AD2121" t="str">
            <v>Ａ</v>
          </cell>
          <cell r="AE2121" t="str">
            <v>ロ</v>
          </cell>
          <cell r="AF2121">
            <v>12</v>
          </cell>
          <cell r="AK2121" t="str">
            <v>清武川</v>
          </cell>
          <cell r="AQ2121" t="str">
            <v/>
          </cell>
          <cell r="AR2121" t="str">
            <v>オキシディションディッチ法</v>
          </cell>
          <cell r="AS2121" t="str">
            <v>4520101002</v>
          </cell>
          <cell r="AT2121" t="str">
            <v/>
          </cell>
          <cell r="AU2121" t="str">
            <v>10</v>
          </cell>
          <cell r="AV2121" t="str">
            <v>10</v>
          </cell>
          <cell r="AW2121">
            <v>0</v>
          </cell>
          <cell r="AX2121">
            <v>0</v>
          </cell>
          <cell r="AY2121">
            <v>0</v>
          </cell>
          <cell r="AZ2121">
            <v>0</v>
          </cell>
          <cell r="BA2121">
            <v>0</v>
          </cell>
          <cell r="BD2121" t="str">
            <v/>
          </cell>
          <cell r="BE2121">
            <v>1</v>
          </cell>
          <cell r="BG2121" t="str">
            <v>1100</v>
          </cell>
        </row>
        <row r="2122">
          <cell r="B2122" t="str">
            <v>G452010106100300</v>
          </cell>
          <cell r="C2122" t="str">
            <v>45.宮崎県</v>
          </cell>
          <cell r="D2122" t="str">
            <v>201</v>
          </cell>
          <cell r="E2122" t="str">
            <v>宮崎市</v>
          </cell>
          <cell r="F2122" t="str">
            <v>01</v>
          </cell>
          <cell r="G2122" t="str">
            <v>公共 単独</v>
          </cell>
          <cell r="H2122" t="str">
            <v>公共下水道</v>
          </cell>
          <cell r="I2122" t="str">
            <v>単独</v>
          </cell>
          <cell r="J2122" t="str">
            <v>003</v>
          </cell>
          <cell r="K2122" t="str">
            <v>大淀処理場</v>
          </cell>
          <cell r="M2122" t="str">
            <v>1</v>
          </cell>
          <cell r="N2122" t="str">
            <v>1</v>
          </cell>
          <cell r="Q2122">
            <v>32417</v>
          </cell>
          <cell r="R2122" t="str">
            <v>昭和</v>
          </cell>
          <cell r="S2122">
            <v>63</v>
          </cell>
          <cell r="T2122">
            <v>10</v>
          </cell>
          <cell r="AB2122">
            <v>72750</v>
          </cell>
          <cell r="AC2122" t="str">
            <v>日向灘</v>
          </cell>
          <cell r="AF2122">
            <v>15</v>
          </cell>
          <cell r="AI2122" t="str">
            <v>日向灘</v>
          </cell>
          <cell r="AQ2122" t="str">
            <v/>
          </cell>
          <cell r="AR2122" t="str">
            <v>標準活性汚泥法</v>
          </cell>
          <cell r="AS2122" t="str">
            <v>4520101003</v>
          </cell>
          <cell r="AT2122" t="str">
            <v/>
          </cell>
          <cell r="AU2122" t="str">
            <v>10</v>
          </cell>
          <cell r="AV2122" t="str">
            <v>10</v>
          </cell>
          <cell r="AW2122">
            <v>0</v>
          </cell>
          <cell r="AX2122">
            <v>0</v>
          </cell>
          <cell r="AY2122">
            <v>0</v>
          </cell>
          <cell r="AZ2122">
            <v>0</v>
          </cell>
          <cell r="BA2122">
            <v>0</v>
          </cell>
          <cell r="BD2122" t="str">
            <v/>
          </cell>
          <cell r="BE2122">
            <v>1</v>
          </cell>
          <cell r="BG2122" t="str">
            <v>1100</v>
          </cell>
        </row>
        <row r="2123">
          <cell r="B2123" t="str">
            <v>G452010106100400</v>
          </cell>
          <cell r="C2123" t="str">
            <v>45.宮崎県</v>
          </cell>
          <cell r="D2123" t="str">
            <v>201</v>
          </cell>
          <cell r="E2123" t="str">
            <v>宮崎市</v>
          </cell>
          <cell r="F2123" t="str">
            <v>01</v>
          </cell>
          <cell r="G2123" t="str">
            <v>公共 単独</v>
          </cell>
          <cell r="H2123" t="str">
            <v>公共下水道</v>
          </cell>
          <cell r="I2123" t="str">
            <v>単独</v>
          </cell>
          <cell r="J2123" t="str">
            <v>004</v>
          </cell>
          <cell r="K2123" t="str">
            <v>青島浄化センター</v>
          </cell>
          <cell r="M2123" t="str">
            <v>1</v>
          </cell>
          <cell r="N2123" t="str">
            <v>1</v>
          </cell>
          <cell r="P2123" t="str">
            <v>1</v>
          </cell>
          <cell r="Q2123">
            <v>33298</v>
          </cell>
          <cell r="R2123" t="str">
            <v>平成</v>
          </cell>
          <cell r="S2123">
            <v>3</v>
          </cell>
          <cell r="T2123">
            <v>3</v>
          </cell>
          <cell r="AB2123">
            <v>7000</v>
          </cell>
          <cell r="AC2123" t="str">
            <v>日向灘</v>
          </cell>
          <cell r="AD2123" t="str">
            <v>Ａ</v>
          </cell>
          <cell r="AE2123" t="str">
            <v>イ</v>
          </cell>
          <cell r="AF2123">
            <v>15</v>
          </cell>
          <cell r="AI2123" t="str">
            <v>日向灘</v>
          </cell>
          <cell r="AQ2123" t="str">
            <v/>
          </cell>
          <cell r="AR2123" t="str">
            <v>回分式活性汚泥法</v>
          </cell>
          <cell r="AS2123" t="str">
            <v>4520101004</v>
          </cell>
          <cell r="AT2123" t="str">
            <v/>
          </cell>
          <cell r="AU2123" t="str">
            <v>10</v>
          </cell>
          <cell r="AV2123" t="str">
            <v>10</v>
          </cell>
          <cell r="AW2123">
            <v>1</v>
          </cell>
          <cell r="AX2123">
            <v>0</v>
          </cell>
          <cell r="AY2123">
            <v>0</v>
          </cell>
          <cell r="AZ2123">
            <v>0</v>
          </cell>
          <cell r="BA2123">
            <v>0</v>
          </cell>
          <cell r="BD2123" t="str">
            <v/>
          </cell>
          <cell r="BE2123">
            <v>1</v>
          </cell>
          <cell r="BG2123" t="str">
            <v>1101</v>
          </cell>
        </row>
        <row r="2124">
          <cell r="B2124" t="str">
            <v>G452010106100500</v>
          </cell>
          <cell r="C2124" t="str">
            <v>45.宮崎県</v>
          </cell>
          <cell r="D2124" t="str">
            <v>201</v>
          </cell>
          <cell r="E2124" t="str">
            <v>宮崎市</v>
          </cell>
          <cell r="F2124" t="str">
            <v>01</v>
          </cell>
          <cell r="G2124" t="str">
            <v>公共 単独</v>
          </cell>
          <cell r="H2124" t="str">
            <v>公共下水道</v>
          </cell>
          <cell r="I2124" t="str">
            <v>単独</v>
          </cell>
          <cell r="J2124" t="str">
            <v>005</v>
          </cell>
          <cell r="K2124" t="str">
            <v>佐土原浄化センター</v>
          </cell>
          <cell r="M2124" t="str">
            <v>1</v>
          </cell>
          <cell r="N2124" t="str">
            <v>1</v>
          </cell>
          <cell r="Q2124">
            <v>34759</v>
          </cell>
          <cell r="R2124" t="str">
            <v>平成</v>
          </cell>
          <cell r="S2124">
            <v>7</v>
          </cell>
          <cell r="T2124">
            <v>3</v>
          </cell>
          <cell r="AB2124">
            <v>38904</v>
          </cell>
          <cell r="AC2124" t="str">
            <v>日向灘</v>
          </cell>
          <cell r="AF2124">
            <v>15</v>
          </cell>
          <cell r="AI2124" t="str">
            <v>日向灘</v>
          </cell>
          <cell r="AQ2124" t="str">
            <v/>
          </cell>
          <cell r="AR2124" t="str">
            <v>標準活性汚泥法</v>
          </cell>
          <cell r="AS2124" t="str">
            <v>4520101005</v>
          </cell>
          <cell r="AT2124" t="str">
            <v/>
          </cell>
          <cell r="AU2124" t="str">
            <v>10</v>
          </cell>
          <cell r="AV2124" t="str">
            <v>10</v>
          </cell>
          <cell r="AW2124">
            <v>0</v>
          </cell>
          <cell r="AX2124">
            <v>0</v>
          </cell>
          <cell r="AY2124">
            <v>0</v>
          </cell>
          <cell r="AZ2124">
            <v>0</v>
          </cell>
          <cell r="BA2124">
            <v>0</v>
          </cell>
          <cell r="BD2124" t="str">
            <v/>
          </cell>
          <cell r="BE2124">
            <v>1</v>
          </cell>
          <cell r="BG2124" t="str">
            <v>1100</v>
          </cell>
        </row>
        <row r="2125">
          <cell r="B2125" t="str">
            <v>G452010106100600</v>
          </cell>
          <cell r="C2125" t="str">
            <v>45.宮崎県</v>
          </cell>
          <cell r="D2125" t="str">
            <v>201</v>
          </cell>
          <cell r="E2125" t="str">
            <v>宮崎市</v>
          </cell>
          <cell r="F2125" t="str">
            <v>01</v>
          </cell>
          <cell r="G2125" t="str">
            <v>公共 単独</v>
          </cell>
          <cell r="H2125" t="str">
            <v>公共下水道</v>
          </cell>
          <cell r="I2125" t="str">
            <v>単独</v>
          </cell>
          <cell r="J2125" t="str">
            <v>006</v>
          </cell>
          <cell r="K2125" t="str">
            <v>田野浄化センター</v>
          </cell>
          <cell r="M2125" t="str">
            <v>1</v>
          </cell>
          <cell r="N2125" t="str">
            <v>1</v>
          </cell>
          <cell r="Q2125">
            <v>37681</v>
          </cell>
          <cell r="R2125" t="str">
            <v>平成</v>
          </cell>
          <cell r="S2125">
            <v>15</v>
          </cell>
          <cell r="T2125">
            <v>3</v>
          </cell>
          <cell r="AB2125">
            <v>35300</v>
          </cell>
          <cell r="AC2125" t="str">
            <v>清武川</v>
          </cell>
          <cell r="AD2125" t="str">
            <v>ＡＡ</v>
          </cell>
          <cell r="AE2125" t="str">
            <v>イ</v>
          </cell>
          <cell r="AF2125">
            <v>15</v>
          </cell>
          <cell r="AK2125" t="str">
            <v>清武川</v>
          </cell>
          <cell r="AQ2125" t="str">
            <v/>
          </cell>
          <cell r="AR2125" t="str">
            <v>オキシディションディッチ法</v>
          </cell>
          <cell r="AS2125" t="str">
            <v>4520101006</v>
          </cell>
          <cell r="AT2125" t="str">
            <v/>
          </cell>
          <cell r="AU2125" t="str">
            <v>10</v>
          </cell>
          <cell r="AV2125" t="str">
            <v>10</v>
          </cell>
          <cell r="AW2125">
            <v>0</v>
          </cell>
          <cell r="AX2125">
            <v>0</v>
          </cell>
          <cell r="AY2125">
            <v>0</v>
          </cell>
          <cell r="AZ2125">
            <v>0</v>
          </cell>
          <cell r="BA2125">
            <v>0</v>
          </cell>
          <cell r="BD2125" t="str">
            <v/>
          </cell>
          <cell r="BE2125">
            <v>1</v>
          </cell>
          <cell r="BG2125" t="str">
            <v>1100</v>
          </cell>
        </row>
        <row r="2126">
          <cell r="B2126" t="str">
            <v>G452020106100100</v>
          </cell>
          <cell r="C2126" t="str">
            <v>45.宮崎県</v>
          </cell>
          <cell r="D2126" t="str">
            <v>202</v>
          </cell>
          <cell r="E2126" t="str">
            <v>都城市</v>
          </cell>
          <cell r="F2126" t="str">
            <v>01</v>
          </cell>
          <cell r="G2126" t="str">
            <v>公共 単独</v>
          </cell>
          <cell r="H2126" t="str">
            <v>公共下水道</v>
          </cell>
          <cell r="I2126" t="str">
            <v>単独</v>
          </cell>
          <cell r="J2126" t="str">
            <v>001</v>
          </cell>
          <cell r="K2126" t="str">
            <v>中央終末処理場</v>
          </cell>
          <cell r="M2126" t="str">
            <v>1</v>
          </cell>
          <cell r="N2126" t="str">
            <v>1</v>
          </cell>
          <cell r="Q2126">
            <v>26512</v>
          </cell>
          <cell r="R2126" t="str">
            <v>昭和</v>
          </cell>
          <cell r="S2126">
            <v>47</v>
          </cell>
          <cell r="T2126">
            <v>8</v>
          </cell>
          <cell r="AB2126">
            <v>29600</v>
          </cell>
          <cell r="AC2126" t="str">
            <v>大淀川</v>
          </cell>
          <cell r="AD2126" t="str">
            <v>Ｂ</v>
          </cell>
          <cell r="AF2126">
            <v>15</v>
          </cell>
          <cell r="AJ2126" t="str">
            <v>年見川</v>
          </cell>
          <cell r="AK2126" t="str">
            <v>大淀川</v>
          </cell>
          <cell r="AL2126" t="str">
            <v>富吉浄水場</v>
          </cell>
          <cell r="AN2126">
            <v>58.8</v>
          </cell>
          <cell r="AO2126" t="str">
            <v>宮崎市</v>
          </cell>
          <cell r="AQ2126" t="str">
            <v/>
          </cell>
          <cell r="AR2126" t="str">
            <v>標準活性汚泥法</v>
          </cell>
          <cell r="AS2126" t="str">
            <v>4520201001</v>
          </cell>
          <cell r="AT2126" t="str">
            <v/>
          </cell>
          <cell r="AU2126" t="str">
            <v>10</v>
          </cell>
          <cell r="AV2126" t="str">
            <v>10</v>
          </cell>
          <cell r="AW2126">
            <v>0</v>
          </cell>
          <cell r="AX2126">
            <v>0</v>
          </cell>
          <cell r="AY2126">
            <v>0</v>
          </cell>
          <cell r="AZ2126">
            <v>0</v>
          </cell>
          <cell r="BA2126">
            <v>0</v>
          </cell>
          <cell r="BD2126" t="str">
            <v/>
          </cell>
          <cell r="BE2126">
            <v>1</v>
          </cell>
          <cell r="BG2126" t="str">
            <v>1100</v>
          </cell>
        </row>
        <row r="2127">
          <cell r="B2127" t="str">
            <v>G452020106100200</v>
          </cell>
          <cell r="C2127" t="str">
            <v>45.宮崎県</v>
          </cell>
          <cell r="D2127" t="str">
            <v>202</v>
          </cell>
          <cell r="E2127" t="str">
            <v>都城市</v>
          </cell>
          <cell r="F2127" t="str">
            <v>01</v>
          </cell>
          <cell r="G2127" t="str">
            <v>公共 単独</v>
          </cell>
          <cell r="H2127" t="str">
            <v>公共下水道</v>
          </cell>
          <cell r="I2127" t="str">
            <v>単独</v>
          </cell>
          <cell r="J2127" t="str">
            <v>002</v>
          </cell>
          <cell r="K2127" t="str">
            <v>都城浄化センター</v>
          </cell>
          <cell r="M2127" t="str">
            <v>1</v>
          </cell>
          <cell r="N2127" t="str">
            <v>1</v>
          </cell>
          <cell r="Q2127">
            <v>35156</v>
          </cell>
          <cell r="R2127" t="str">
            <v>平成</v>
          </cell>
          <cell r="S2127">
            <v>8</v>
          </cell>
          <cell r="T2127">
            <v>4</v>
          </cell>
          <cell r="AB2127">
            <v>65000</v>
          </cell>
          <cell r="AC2127" t="str">
            <v>大淀川中流</v>
          </cell>
          <cell r="AD2127" t="str">
            <v>Ｂ</v>
          </cell>
          <cell r="AE2127" t="str">
            <v>ロ</v>
          </cell>
          <cell r="AF2127">
            <v>15</v>
          </cell>
          <cell r="AK2127" t="str">
            <v>大淀川</v>
          </cell>
          <cell r="AL2127" t="str">
            <v>冨吉浄水場</v>
          </cell>
          <cell r="AN2127">
            <v>56.4</v>
          </cell>
          <cell r="AO2127" t="str">
            <v>宮崎市</v>
          </cell>
          <cell r="AQ2127" t="str">
            <v/>
          </cell>
          <cell r="AR2127" t="str">
            <v>その他処理方法</v>
          </cell>
          <cell r="AS2127" t="str">
            <v>4520201002</v>
          </cell>
          <cell r="AT2127" t="str">
            <v/>
          </cell>
          <cell r="AU2127" t="str">
            <v>10</v>
          </cell>
          <cell r="AV2127" t="str">
            <v>10</v>
          </cell>
          <cell r="AW2127">
            <v>0</v>
          </cell>
          <cell r="AX2127">
            <v>0</v>
          </cell>
          <cell r="AY2127">
            <v>0</v>
          </cell>
          <cell r="AZ2127">
            <v>0</v>
          </cell>
          <cell r="BA2127">
            <v>0</v>
          </cell>
          <cell r="BD2127" t="str">
            <v/>
          </cell>
          <cell r="BE2127">
            <v>1</v>
          </cell>
          <cell r="BG2127" t="str">
            <v>1100</v>
          </cell>
        </row>
        <row r="2128">
          <cell r="B2128" t="str">
            <v>G452020106100300</v>
          </cell>
          <cell r="C2128" t="str">
            <v>45.宮崎県</v>
          </cell>
          <cell r="D2128" t="str">
            <v>202</v>
          </cell>
          <cell r="E2128" t="str">
            <v>都城市</v>
          </cell>
          <cell r="F2128" t="str">
            <v>01</v>
          </cell>
          <cell r="G2128" t="str">
            <v>公共 単独</v>
          </cell>
          <cell r="H2128" t="str">
            <v>公共下水道</v>
          </cell>
          <cell r="I2128" t="str">
            <v>単独</v>
          </cell>
          <cell r="J2128" t="str">
            <v>003</v>
          </cell>
          <cell r="K2128" t="str">
            <v>高城浄化センター</v>
          </cell>
          <cell r="M2128" t="str">
            <v>1</v>
          </cell>
          <cell r="N2128" t="str">
            <v>1</v>
          </cell>
          <cell r="Q2128">
            <v>37681</v>
          </cell>
          <cell r="R2128" t="str">
            <v>平成</v>
          </cell>
          <cell r="S2128">
            <v>15</v>
          </cell>
          <cell r="T2128">
            <v>3</v>
          </cell>
          <cell r="AB2128">
            <v>12699</v>
          </cell>
          <cell r="AC2128" t="str">
            <v>大淀川中流</v>
          </cell>
          <cell r="AD2128" t="str">
            <v>Ｂ</v>
          </cell>
          <cell r="AE2128" t="str">
            <v>ロ</v>
          </cell>
          <cell r="AF2128">
            <v>15</v>
          </cell>
          <cell r="AK2128" t="str">
            <v>大淀川</v>
          </cell>
          <cell r="AQ2128" t="str">
            <v/>
          </cell>
          <cell r="AR2128" t="str">
            <v>オキシディションディッチ法</v>
          </cell>
          <cell r="AS2128" t="str">
            <v>4520201003</v>
          </cell>
          <cell r="AT2128" t="str">
            <v/>
          </cell>
          <cell r="AU2128" t="str">
            <v>10</v>
          </cell>
          <cell r="AV2128" t="str">
            <v>10</v>
          </cell>
          <cell r="AW2128">
            <v>0</v>
          </cell>
          <cell r="AX2128">
            <v>0</v>
          </cell>
          <cell r="AY2128">
            <v>0</v>
          </cell>
          <cell r="AZ2128">
            <v>0</v>
          </cell>
          <cell r="BA2128">
            <v>0</v>
          </cell>
          <cell r="BD2128" t="str">
            <v/>
          </cell>
          <cell r="BE2128">
            <v>1</v>
          </cell>
          <cell r="BG2128" t="str">
            <v>1100</v>
          </cell>
        </row>
        <row r="2129">
          <cell r="B2129" t="str">
            <v>G452020106100400</v>
          </cell>
          <cell r="C2129" t="str">
            <v>45.宮崎県</v>
          </cell>
          <cell r="D2129" t="str">
            <v>202</v>
          </cell>
          <cell r="E2129" t="str">
            <v>都城市</v>
          </cell>
          <cell r="F2129" t="str">
            <v>01</v>
          </cell>
          <cell r="G2129" t="str">
            <v>公共 単独</v>
          </cell>
          <cell r="H2129" t="str">
            <v>公共下水道</v>
          </cell>
          <cell r="I2129" t="str">
            <v>単独</v>
          </cell>
          <cell r="J2129" t="str">
            <v>004</v>
          </cell>
          <cell r="K2129" t="str">
            <v>山田浄化センター</v>
          </cell>
          <cell r="M2129" t="str">
            <v>1</v>
          </cell>
          <cell r="N2129" t="str">
            <v>1</v>
          </cell>
          <cell r="Q2129">
            <v>37711</v>
          </cell>
          <cell r="R2129" t="str">
            <v>平成</v>
          </cell>
          <cell r="S2129">
            <v>15</v>
          </cell>
          <cell r="T2129">
            <v>3</v>
          </cell>
          <cell r="AB2129">
            <v>13030</v>
          </cell>
          <cell r="AC2129" t="str">
            <v>大淀川水域</v>
          </cell>
          <cell r="AD2129" t="str">
            <v>Ａ</v>
          </cell>
          <cell r="AE2129" t="str">
            <v>ロ</v>
          </cell>
          <cell r="AF2129">
            <v>15</v>
          </cell>
          <cell r="AI2129" t="str">
            <v>丸谷川</v>
          </cell>
          <cell r="AK2129" t="str">
            <v>大淀川</v>
          </cell>
          <cell r="AQ2129" t="str">
            <v/>
          </cell>
          <cell r="AR2129" t="str">
            <v>オキシディションディッチ法</v>
          </cell>
          <cell r="AS2129" t="str">
            <v>4520201004</v>
          </cell>
          <cell r="AT2129" t="str">
            <v/>
          </cell>
          <cell r="AU2129" t="str">
            <v>10</v>
          </cell>
          <cell r="AV2129" t="str">
            <v>10</v>
          </cell>
          <cell r="AW2129">
            <v>0</v>
          </cell>
          <cell r="AX2129">
            <v>0</v>
          </cell>
          <cell r="AY2129">
            <v>0</v>
          </cell>
          <cell r="AZ2129">
            <v>0</v>
          </cell>
          <cell r="BA2129">
            <v>0</v>
          </cell>
          <cell r="BD2129" t="str">
            <v/>
          </cell>
          <cell r="BE2129">
            <v>1</v>
          </cell>
          <cell r="BG2129" t="str">
            <v>1100</v>
          </cell>
        </row>
        <row r="2130">
          <cell r="B2130" t="str">
            <v>G452020106100500</v>
          </cell>
          <cell r="C2130" t="str">
            <v>45.宮崎県</v>
          </cell>
          <cell r="D2130" t="str">
            <v>202</v>
          </cell>
          <cell r="E2130" t="str">
            <v>都城市</v>
          </cell>
          <cell r="F2130" t="str">
            <v>01</v>
          </cell>
          <cell r="G2130" t="str">
            <v>公共 単独</v>
          </cell>
          <cell r="H2130" t="str">
            <v>公共下水道</v>
          </cell>
          <cell r="I2130" t="str">
            <v>単独</v>
          </cell>
          <cell r="J2130" t="str">
            <v>005</v>
          </cell>
          <cell r="K2130" t="str">
            <v>山之口浄化センター</v>
          </cell>
          <cell r="M2130" t="str">
            <v>1</v>
          </cell>
          <cell r="N2130" t="str">
            <v>1</v>
          </cell>
          <cell r="Q2130">
            <v>37803</v>
          </cell>
          <cell r="R2130" t="str">
            <v>平成</v>
          </cell>
          <cell r="S2130">
            <v>15</v>
          </cell>
          <cell r="T2130">
            <v>7</v>
          </cell>
          <cell r="AB2130">
            <v>7368</v>
          </cell>
          <cell r="AC2130" t="str">
            <v>大淀川水系花木川</v>
          </cell>
          <cell r="AD2130" t="str">
            <v>Ａ</v>
          </cell>
          <cell r="AE2130" t="str">
            <v>イ</v>
          </cell>
          <cell r="AF2130">
            <v>15</v>
          </cell>
          <cell r="AI2130" t="str">
            <v>花木川</v>
          </cell>
          <cell r="AK2130" t="str">
            <v>大淀川</v>
          </cell>
          <cell r="AN2130">
            <v>57</v>
          </cell>
          <cell r="AO2130" t="str">
            <v>宮崎市</v>
          </cell>
          <cell r="AQ2130" t="str">
            <v/>
          </cell>
          <cell r="AR2130" t="str">
            <v>オキシディションディッチ法</v>
          </cell>
          <cell r="AS2130" t="str">
            <v>4520201005</v>
          </cell>
          <cell r="AT2130" t="str">
            <v/>
          </cell>
          <cell r="AU2130" t="str">
            <v>10</v>
          </cell>
          <cell r="AV2130" t="str">
            <v>10</v>
          </cell>
          <cell r="AW2130">
            <v>0</v>
          </cell>
          <cell r="AX2130">
            <v>0</v>
          </cell>
          <cell r="AY2130">
            <v>0</v>
          </cell>
          <cell r="AZ2130">
            <v>0</v>
          </cell>
          <cell r="BA2130">
            <v>0</v>
          </cell>
          <cell r="BD2130" t="str">
            <v/>
          </cell>
          <cell r="BE2130">
            <v>1</v>
          </cell>
          <cell r="BG2130" t="str">
            <v>1100</v>
          </cell>
        </row>
        <row r="2131">
          <cell r="B2131" t="str">
            <v>G452020106100600</v>
          </cell>
          <cell r="C2131" t="str">
            <v>45.宮崎県</v>
          </cell>
          <cell r="D2131" t="str">
            <v>202</v>
          </cell>
          <cell r="E2131" t="str">
            <v>都城市</v>
          </cell>
          <cell r="F2131" t="str">
            <v>01</v>
          </cell>
          <cell r="G2131" t="str">
            <v>公共 単独</v>
          </cell>
          <cell r="H2131" t="str">
            <v>公共下水道</v>
          </cell>
          <cell r="I2131" t="str">
            <v>単独</v>
          </cell>
          <cell r="J2131" t="str">
            <v>006</v>
          </cell>
          <cell r="K2131" t="str">
            <v>高崎浄化センター</v>
          </cell>
          <cell r="M2131" t="str">
            <v>1</v>
          </cell>
          <cell r="N2131" t="str">
            <v>1</v>
          </cell>
          <cell r="Q2131">
            <v>38047</v>
          </cell>
          <cell r="R2131" t="str">
            <v>平成</v>
          </cell>
          <cell r="S2131">
            <v>16</v>
          </cell>
          <cell r="T2131">
            <v>3</v>
          </cell>
          <cell r="AB2131">
            <v>13174</v>
          </cell>
          <cell r="AC2131" t="str">
            <v>大淀川下流</v>
          </cell>
          <cell r="AD2131" t="str">
            <v>Ａ</v>
          </cell>
          <cell r="AE2131" t="str">
            <v>ロ</v>
          </cell>
          <cell r="AF2131">
            <v>15</v>
          </cell>
          <cell r="AK2131" t="str">
            <v>高崎川</v>
          </cell>
          <cell r="AQ2131" t="str">
            <v/>
          </cell>
          <cell r="AR2131" t="str">
            <v>オキシディションディッチ法</v>
          </cell>
          <cell r="AS2131" t="str">
            <v>4520201006</v>
          </cell>
          <cell r="AT2131" t="str">
            <v/>
          </cell>
          <cell r="AU2131" t="str">
            <v>10</v>
          </cell>
          <cell r="AV2131" t="str">
            <v>10</v>
          </cell>
          <cell r="AW2131">
            <v>0</v>
          </cell>
          <cell r="AX2131">
            <v>0</v>
          </cell>
          <cell r="AY2131">
            <v>0</v>
          </cell>
          <cell r="AZ2131">
            <v>0</v>
          </cell>
          <cell r="BA2131">
            <v>0</v>
          </cell>
          <cell r="BD2131" t="str">
            <v/>
          </cell>
          <cell r="BE2131">
            <v>1</v>
          </cell>
          <cell r="BG2131" t="str">
            <v>1100</v>
          </cell>
        </row>
        <row r="2132">
          <cell r="B2132" t="str">
            <v>G452030106100100</v>
          </cell>
          <cell r="C2132" t="str">
            <v>45.宮崎県</v>
          </cell>
          <cell r="D2132" t="str">
            <v>203</v>
          </cell>
          <cell r="E2132" t="str">
            <v>延岡市</v>
          </cell>
          <cell r="F2132" t="str">
            <v>01</v>
          </cell>
          <cell r="G2132" t="str">
            <v>公共 単独</v>
          </cell>
          <cell r="H2132" t="str">
            <v>公共下水道</v>
          </cell>
          <cell r="I2132" t="str">
            <v>単独</v>
          </cell>
          <cell r="J2132" t="str">
            <v>001</v>
          </cell>
          <cell r="K2132" t="str">
            <v>一ヶ岡下水処理場</v>
          </cell>
          <cell r="M2132" t="str">
            <v>1</v>
          </cell>
          <cell r="Q2132">
            <v>24959</v>
          </cell>
          <cell r="R2132" t="str">
            <v>昭和</v>
          </cell>
          <cell r="S2132">
            <v>43</v>
          </cell>
          <cell r="T2132">
            <v>5</v>
          </cell>
          <cell r="AB2132">
            <v>10100</v>
          </cell>
          <cell r="AC2132" t="str">
            <v>沖田川下流</v>
          </cell>
          <cell r="AD2132" t="str">
            <v>Ｂ</v>
          </cell>
          <cell r="AE2132" t="str">
            <v>イ</v>
          </cell>
          <cell r="AF2132">
            <v>15</v>
          </cell>
          <cell r="AI2132" t="str">
            <v>井替川</v>
          </cell>
          <cell r="AJ2132" t="str">
            <v>沖田川</v>
          </cell>
          <cell r="AQ2132" t="str">
            <v/>
          </cell>
          <cell r="AR2132" t="str">
            <v>標準活性汚泥法</v>
          </cell>
          <cell r="AS2132" t="str">
            <v>4520301001</v>
          </cell>
          <cell r="AT2132" t="str">
            <v/>
          </cell>
          <cell r="AU2132" t="str">
            <v>00</v>
          </cell>
          <cell r="AV2132" t="str">
            <v>00</v>
          </cell>
          <cell r="AW2132">
            <v>0</v>
          </cell>
          <cell r="AX2132">
            <v>0</v>
          </cell>
          <cell r="AY2132">
            <v>0</v>
          </cell>
          <cell r="AZ2132">
            <v>0</v>
          </cell>
          <cell r="BA2132">
            <v>0</v>
          </cell>
          <cell r="BD2132" t="str">
            <v/>
          </cell>
          <cell r="BE2132">
            <v>1</v>
          </cell>
          <cell r="BG2132" t="str">
            <v>1000</v>
          </cell>
        </row>
        <row r="2133">
          <cell r="B2133" t="str">
            <v>G452030106100200</v>
          </cell>
          <cell r="C2133" t="str">
            <v>45.宮崎県</v>
          </cell>
          <cell r="D2133" t="str">
            <v>203</v>
          </cell>
          <cell r="E2133" t="str">
            <v>延岡市</v>
          </cell>
          <cell r="F2133" t="str">
            <v>01</v>
          </cell>
          <cell r="G2133" t="str">
            <v>公共 単独</v>
          </cell>
          <cell r="H2133" t="str">
            <v>公共下水道</v>
          </cell>
          <cell r="I2133" t="str">
            <v>単独</v>
          </cell>
          <cell r="J2133" t="str">
            <v>002</v>
          </cell>
          <cell r="K2133" t="str">
            <v>妙田下水処理場</v>
          </cell>
          <cell r="M2133" t="str">
            <v>1</v>
          </cell>
          <cell r="N2133" t="str">
            <v>1</v>
          </cell>
          <cell r="O2133" t="str">
            <v>1</v>
          </cell>
          <cell r="P2133" t="str">
            <v>1</v>
          </cell>
          <cell r="Q2133">
            <v>26451</v>
          </cell>
          <cell r="R2133" t="str">
            <v>昭和</v>
          </cell>
          <cell r="S2133">
            <v>47</v>
          </cell>
          <cell r="T2133">
            <v>6</v>
          </cell>
          <cell r="AB2133">
            <v>63800</v>
          </cell>
          <cell r="AC2133" t="str">
            <v>五ヶ瀬川水域大瀬側下流</v>
          </cell>
          <cell r="AD2133" t="str">
            <v>Ａ</v>
          </cell>
          <cell r="AE2133" t="str">
            <v>イ</v>
          </cell>
          <cell r="AF2133">
            <v>15</v>
          </cell>
          <cell r="AI2133" t="str">
            <v>妙田川</v>
          </cell>
          <cell r="AK2133" t="str">
            <v>大瀬川</v>
          </cell>
          <cell r="AL2133" t="str">
            <v>古城水源地</v>
          </cell>
          <cell r="AO2133" t="str">
            <v>延岡市</v>
          </cell>
          <cell r="AQ2133" t="str">
            <v/>
          </cell>
          <cell r="AR2133" t="str">
            <v>標準活性汚泥法</v>
          </cell>
          <cell r="AS2133" t="str">
            <v>4520301002</v>
          </cell>
          <cell r="AT2133" t="str">
            <v/>
          </cell>
          <cell r="AU2133" t="str">
            <v>11</v>
          </cell>
          <cell r="AV2133" t="str">
            <v>11</v>
          </cell>
          <cell r="AW2133">
            <v>1</v>
          </cell>
          <cell r="AX2133">
            <v>0</v>
          </cell>
          <cell r="AY2133">
            <v>0</v>
          </cell>
          <cell r="AZ2133">
            <v>0</v>
          </cell>
          <cell r="BA2133">
            <v>0</v>
          </cell>
          <cell r="BD2133" t="str">
            <v/>
          </cell>
          <cell r="BE2133">
            <v>1</v>
          </cell>
          <cell r="BG2133" t="str">
            <v>1111</v>
          </cell>
        </row>
        <row r="2134">
          <cell r="B2134" t="str">
            <v>G452030206100300</v>
          </cell>
          <cell r="C2134" t="str">
            <v>45.宮崎県</v>
          </cell>
          <cell r="D2134" t="str">
            <v>203</v>
          </cell>
          <cell r="E2134" t="str">
            <v>延岡市</v>
          </cell>
          <cell r="F2134" t="str">
            <v>02</v>
          </cell>
          <cell r="G2134" t="str">
            <v>特環 単独</v>
          </cell>
          <cell r="H2134" t="str">
            <v>特定環境保全公共下水道</v>
          </cell>
          <cell r="I2134" t="str">
            <v>単独</v>
          </cell>
          <cell r="J2134" t="str">
            <v>003</v>
          </cell>
          <cell r="K2134" t="str">
            <v>阿蘇下水処理場</v>
          </cell>
          <cell r="M2134" t="str">
            <v>1</v>
          </cell>
          <cell r="N2134" t="str">
            <v>1</v>
          </cell>
          <cell r="Q2134">
            <v>34060</v>
          </cell>
          <cell r="R2134" t="str">
            <v>平成</v>
          </cell>
          <cell r="S2134">
            <v>5</v>
          </cell>
          <cell r="T2134">
            <v>4</v>
          </cell>
          <cell r="AB2134">
            <v>724</v>
          </cell>
          <cell r="AC2134" t="str">
            <v>日豊海岸国定公園地先</v>
          </cell>
          <cell r="AD2134" t="str">
            <v>Ａ</v>
          </cell>
          <cell r="AE2134" t="str">
            <v>イ</v>
          </cell>
          <cell r="AI2134" t="str">
            <v>日向灘</v>
          </cell>
          <cell r="AQ2134" t="str">
            <v/>
          </cell>
          <cell r="AR2134" t="str">
            <v>回分式活性汚泥法</v>
          </cell>
          <cell r="AS2134" t="str">
            <v>4520302003</v>
          </cell>
          <cell r="AT2134" t="str">
            <v/>
          </cell>
          <cell r="AU2134" t="str">
            <v>10</v>
          </cell>
          <cell r="AV2134" t="str">
            <v>10</v>
          </cell>
          <cell r="AW2134">
            <v>0</v>
          </cell>
          <cell r="AX2134">
            <v>0</v>
          </cell>
          <cell r="AY2134">
            <v>0</v>
          </cell>
          <cell r="AZ2134">
            <v>0</v>
          </cell>
          <cell r="BA2134">
            <v>0</v>
          </cell>
          <cell r="BD2134" t="str">
            <v/>
          </cell>
          <cell r="BE2134">
            <v>1</v>
          </cell>
          <cell r="BG2134" t="str">
            <v>1100</v>
          </cell>
        </row>
        <row r="2135">
          <cell r="B2135" t="str">
            <v>G452030206100400</v>
          </cell>
          <cell r="C2135" t="str">
            <v>45.宮崎県</v>
          </cell>
          <cell r="D2135" t="str">
            <v>203</v>
          </cell>
          <cell r="E2135" t="str">
            <v>延岡市</v>
          </cell>
          <cell r="F2135" t="str">
            <v>02</v>
          </cell>
          <cell r="G2135" t="str">
            <v>特環 単独</v>
          </cell>
          <cell r="H2135" t="str">
            <v>特定環境保全公共下水道</v>
          </cell>
          <cell r="I2135" t="str">
            <v>単独</v>
          </cell>
          <cell r="J2135" t="str">
            <v>004</v>
          </cell>
          <cell r="K2135" t="str">
            <v>直海下水処理場</v>
          </cell>
          <cell r="M2135" t="str">
            <v>1</v>
          </cell>
          <cell r="N2135" t="str">
            <v>1</v>
          </cell>
          <cell r="Q2135">
            <v>34790</v>
          </cell>
          <cell r="R2135" t="str">
            <v>平成</v>
          </cell>
          <cell r="S2135">
            <v>7</v>
          </cell>
          <cell r="T2135">
            <v>4</v>
          </cell>
          <cell r="AB2135">
            <v>600</v>
          </cell>
          <cell r="AC2135" t="str">
            <v>日豊海岸国定公園地先</v>
          </cell>
          <cell r="AD2135" t="str">
            <v>Ａ</v>
          </cell>
          <cell r="AE2135" t="str">
            <v>イ</v>
          </cell>
          <cell r="AI2135" t="str">
            <v>日向灘</v>
          </cell>
          <cell r="AQ2135" t="str">
            <v/>
          </cell>
          <cell r="AR2135" t="str">
            <v>回分式活性汚泥法</v>
          </cell>
          <cell r="AS2135" t="str">
            <v>4520302004</v>
          </cell>
          <cell r="AT2135" t="str">
            <v/>
          </cell>
          <cell r="AU2135" t="str">
            <v>10</v>
          </cell>
          <cell r="AV2135" t="str">
            <v>10</v>
          </cell>
          <cell r="AW2135">
            <v>0</v>
          </cell>
          <cell r="AX2135">
            <v>0</v>
          </cell>
          <cell r="AY2135">
            <v>0</v>
          </cell>
          <cell r="AZ2135">
            <v>0</v>
          </cell>
          <cell r="BA2135">
            <v>0</v>
          </cell>
          <cell r="BD2135" t="str">
            <v/>
          </cell>
          <cell r="BE2135">
            <v>1</v>
          </cell>
          <cell r="BG2135" t="str">
            <v>1100</v>
          </cell>
        </row>
        <row r="2136">
          <cell r="B2136" t="str">
            <v>G452040106100100</v>
          </cell>
          <cell r="C2136" t="str">
            <v>45.宮崎県</v>
          </cell>
          <cell r="D2136" t="str">
            <v>204</v>
          </cell>
          <cell r="E2136" t="str">
            <v>日南市</v>
          </cell>
          <cell r="F2136" t="str">
            <v>01</v>
          </cell>
          <cell r="G2136" t="str">
            <v>公共 単独</v>
          </cell>
          <cell r="H2136" t="str">
            <v>公共下水道</v>
          </cell>
          <cell r="I2136" t="str">
            <v>単独</v>
          </cell>
          <cell r="J2136" t="str">
            <v>001</v>
          </cell>
          <cell r="K2136" t="str">
            <v>日南下水終末処理場</v>
          </cell>
          <cell r="M2136" t="str">
            <v>1</v>
          </cell>
          <cell r="N2136" t="str">
            <v>1</v>
          </cell>
          <cell r="Q2136">
            <v>30773</v>
          </cell>
          <cell r="R2136" t="str">
            <v>昭和</v>
          </cell>
          <cell r="S2136">
            <v>59</v>
          </cell>
          <cell r="T2136">
            <v>4</v>
          </cell>
          <cell r="AB2136">
            <v>68449</v>
          </cell>
          <cell r="AC2136" t="str">
            <v>広渡川下流</v>
          </cell>
          <cell r="AD2136" t="str">
            <v>Ａ</v>
          </cell>
          <cell r="AE2136" t="str">
            <v>イ</v>
          </cell>
          <cell r="AF2136">
            <v>15</v>
          </cell>
          <cell r="AJ2136" t="str">
            <v>広渡川</v>
          </cell>
          <cell r="AL2136" t="str">
            <v>東郷１号</v>
          </cell>
          <cell r="AM2136">
            <v>4.5</v>
          </cell>
          <cell r="AO2136" t="str">
            <v>日南市</v>
          </cell>
          <cell r="AQ2136" t="str">
            <v/>
          </cell>
          <cell r="AR2136" t="str">
            <v>標準活性汚泥法</v>
          </cell>
          <cell r="AS2136" t="str">
            <v>4520401001</v>
          </cell>
          <cell r="AT2136" t="str">
            <v/>
          </cell>
          <cell r="AU2136" t="str">
            <v>10</v>
          </cell>
          <cell r="AV2136" t="str">
            <v>10</v>
          </cell>
          <cell r="AW2136">
            <v>0</v>
          </cell>
          <cell r="AX2136">
            <v>0</v>
          </cell>
          <cell r="AY2136">
            <v>0</v>
          </cell>
          <cell r="AZ2136">
            <v>0</v>
          </cell>
          <cell r="BA2136">
            <v>0</v>
          </cell>
          <cell r="BD2136" t="str">
            <v/>
          </cell>
          <cell r="BE2136">
            <v>1</v>
          </cell>
          <cell r="BG2136" t="str">
            <v>1100</v>
          </cell>
        </row>
        <row r="2137">
          <cell r="B2137" t="str">
            <v>G452040206100200</v>
          </cell>
          <cell r="C2137" t="str">
            <v>45.宮崎県</v>
          </cell>
          <cell r="D2137" t="str">
            <v>204</v>
          </cell>
          <cell r="E2137" t="str">
            <v>日南市</v>
          </cell>
          <cell r="F2137" t="str">
            <v>02</v>
          </cell>
          <cell r="G2137" t="str">
            <v>特環 単独</v>
          </cell>
          <cell r="H2137" t="str">
            <v>特定環境保全公共下水道</v>
          </cell>
          <cell r="I2137" t="str">
            <v>単独</v>
          </cell>
          <cell r="J2137" t="str">
            <v>002</v>
          </cell>
          <cell r="K2137" t="str">
            <v>日南市北郷下水終末処理場</v>
          </cell>
          <cell r="M2137" t="str">
            <v>1</v>
          </cell>
          <cell r="N2137" t="str">
            <v>1</v>
          </cell>
          <cell r="Q2137">
            <v>37681</v>
          </cell>
          <cell r="R2137" t="str">
            <v>平成</v>
          </cell>
          <cell r="S2137">
            <v>15</v>
          </cell>
          <cell r="T2137">
            <v>3</v>
          </cell>
          <cell r="V2137">
            <v>40179</v>
          </cell>
          <cell r="W2137" t="str">
            <v>平成</v>
          </cell>
          <cell r="X2137">
            <v>22</v>
          </cell>
          <cell r="Y2137">
            <v>1</v>
          </cell>
          <cell r="Z2137" t="str">
            <v>郷之原浄化センター</v>
          </cell>
          <cell r="AB2137">
            <v>10188.469999999999</v>
          </cell>
          <cell r="AC2137" t="str">
            <v>広渡川下流</v>
          </cell>
          <cell r="AD2137" t="str">
            <v>Ａ</v>
          </cell>
          <cell r="AE2137" t="str">
            <v>イ</v>
          </cell>
          <cell r="AF2137">
            <v>15</v>
          </cell>
          <cell r="AI2137" t="str">
            <v>寺之河内川</v>
          </cell>
          <cell r="AJ2137" t="str">
            <v>赤岩川</v>
          </cell>
          <cell r="AM2137">
            <v>0.2</v>
          </cell>
          <cell r="AO2137" t="str">
            <v>日南市</v>
          </cell>
          <cell r="AQ2137" t="str">
            <v/>
          </cell>
          <cell r="AR2137" t="str">
            <v>オキシディションディッチ法</v>
          </cell>
          <cell r="AS2137" t="str">
            <v>4520402002</v>
          </cell>
          <cell r="AT2137" t="str">
            <v/>
          </cell>
          <cell r="AU2137" t="str">
            <v>10</v>
          </cell>
          <cell r="AV2137" t="str">
            <v>10</v>
          </cell>
          <cell r="AW2137">
            <v>0</v>
          </cell>
          <cell r="AX2137">
            <v>0</v>
          </cell>
          <cell r="AY2137">
            <v>0</v>
          </cell>
          <cell r="AZ2137">
            <v>0</v>
          </cell>
          <cell r="BA2137">
            <v>0</v>
          </cell>
          <cell r="BD2137" t="str">
            <v/>
          </cell>
          <cell r="BE2137">
            <v>1</v>
          </cell>
          <cell r="BG2137" t="str">
            <v>1100</v>
          </cell>
        </row>
        <row r="2138">
          <cell r="B2138" t="str">
            <v>G452050106100100</v>
          </cell>
          <cell r="C2138" t="str">
            <v>45.宮崎県</v>
          </cell>
          <cell r="D2138" t="str">
            <v>205</v>
          </cell>
          <cell r="E2138" t="str">
            <v>小林市</v>
          </cell>
          <cell r="F2138" t="str">
            <v>01</v>
          </cell>
          <cell r="G2138" t="str">
            <v>公共 単独</v>
          </cell>
          <cell r="H2138" t="str">
            <v>公共下水道</v>
          </cell>
          <cell r="I2138" t="str">
            <v>単独</v>
          </cell>
          <cell r="J2138" t="str">
            <v>001</v>
          </cell>
          <cell r="K2138" t="str">
            <v>小林浄化センター</v>
          </cell>
          <cell r="M2138" t="str">
            <v>1</v>
          </cell>
          <cell r="N2138" t="str">
            <v>1</v>
          </cell>
          <cell r="Q2138">
            <v>36951</v>
          </cell>
          <cell r="R2138" t="str">
            <v>平成</v>
          </cell>
          <cell r="S2138">
            <v>13</v>
          </cell>
          <cell r="T2138">
            <v>3</v>
          </cell>
          <cell r="AB2138">
            <v>27000</v>
          </cell>
          <cell r="AC2138" t="str">
            <v>辻の堂川</v>
          </cell>
          <cell r="AD2138" t="str">
            <v>Ａ</v>
          </cell>
          <cell r="AE2138" t="str">
            <v>ロ</v>
          </cell>
          <cell r="AF2138">
            <v>15</v>
          </cell>
          <cell r="AK2138" t="str">
            <v>辻の堂川</v>
          </cell>
          <cell r="AN2138">
            <v>124</v>
          </cell>
          <cell r="AO2138" t="str">
            <v>宮崎市</v>
          </cell>
          <cell r="AQ2138" t="str">
            <v/>
          </cell>
          <cell r="AR2138" t="str">
            <v>標準活性汚泥法</v>
          </cell>
          <cell r="AS2138" t="str">
            <v>4520501001</v>
          </cell>
          <cell r="AT2138" t="str">
            <v/>
          </cell>
          <cell r="AU2138" t="str">
            <v>10</v>
          </cell>
          <cell r="AV2138" t="str">
            <v>10</v>
          </cell>
          <cell r="AW2138">
            <v>0</v>
          </cell>
          <cell r="AX2138">
            <v>0</v>
          </cell>
          <cell r="AY2138">
            <v>0</v>
          </cell>
          <cell r="AZ2138">
            <v>0</v>
          </cell>
          <cell r="BA2138">
            <v>0</v>
          </cell>
          <cell r="BD2138" t="str">
            <v/>
          </cell>
          <cell r="BE2138">
            <v>1</v>
          </cell>
          <cell r="BG2138" t="str">
            <v>1100</v>
          </cell>
        </row>
        <row r="2139">
          <cell r="B2139" t="str">
            <v>G452050206100200</v>
          </cell>
          <cell r="C2139" t="str">
            <v>45.宮崎県</v>
          </cell>
          <cell r="D2139" t="str">
            <v>205</v>
          </cell>
          <cell r="E2139" t="str">
            <v>小林市</v>
          </cell>
          <cell r="F2139" t="str">
            <v>02</v>
          </cell>
          <cell r="G2139" t="str">
            <v>特環 単独</v>
          </cell>
          <cell r="H2139" t="str">
            <v>特定環境保全公共下水道</v>
          </cell>
          <cell r="I2139" t="str">
            <v>単独</v>
          </cell>
          <cell r="J2139" t="str">
            <v>002</v>
          </cell>
          <cell r="K2139" t="str">
            <v>野尻浄化センター</v>
          </cell>
          <cell r="M2139" t="str">
            <v>1</v>
          </cell>
          <cell r="N2139" t="str">
            <v>1</v>
          </cell>
          <cell r="Q2139">
            <v>38808</v>
          </cell>
          <cell r="R2139" t="str">
            <v>平成</v>
          </cell>
          <cell r="S2139">
            <v>18</v>
          </cell>
          <cell r="T2139">
            <v>4</v>
          </cell>
          <cell r="AB2139">
            <v>3379</v>
          </cell>
          <cell r="AC2139" t="str">
            <v>大淀川下流</v>
          </cell>
          <cell r="AD2139" t="str">
            <v>Ａ</v>
          </cell>
          <cell r="AE2139" t="str">
            <v>ロ</v>
          </cell>
          <cell r="AF2139">
            <v>15</v>
          </cell>
          <cell r="AI2139" t="str">
            <v>農業用排水路</v>
          </cell>
          <cell r="AK2139" t="str">
            <v>戸崎川</v>
          </cell>
          <cell r="AN2139">
            <v>25</v>
          </cell>
          <cell r="AO2139" t="str">
            <v>宮崎市</v>
          </cell>
          <cell r="AQ2139" t="str">
            <v/>
          </cell>
          <cell r="AR2139" t="str">
            <v>オキシディションディッチ法</v>
          </cell>
          <cell r="AS2139" t="str">
            <v>4520502002</v>
          </cell>
          <cell r="AT2139" t="str">
            <v/>
          </cell>
          <cell r="AU2139" t="str">
            <v>10</v>
          </cell>
          <cell r="AV2139" t="str">
            <v>10</v>
          </cell>
          <cell r="AW2139">
            <v>0</v>
          </cell>
          <cell r="AX2139">
            <v>0</v>
          </cell>
          <cell r="AY2139">
            <v>0</v>
          </cell>
          <cell r="AZ2139">
            <v>0</v>
          </cell>
          <cell r="BA2139">
            <v>0</v>
          </cell>
          <cell r="BD2139" t="str">
            <v/>
          </cell>
          <cell r="BE2139">
            <v>1</v>
          </cell>
          <cell r="BG2139" t="str">
            <v>1100</v>
          </cell>
        </row>
        <row r="2140">
          <cell r="B2140" t="str">
            <v>G452060106100100</v>
          </cell>
          <cell r="C2140" t="str">
            <v>45.宮崎県</v>
          </cell>
          <cell r="D2140" t="str">
            <v>206</v>
          </cell>
          <cell r="E2140" t="str">
            <v>日向市</v>
          </cell>
          <cell r="F2140" t="str">
            <v>01</v>
          </cell>
          <cell r="G2140" t="str">
            <v>公共 単独</v>
          </cell>
          <cell r="H2140" t="str">
            <v>公共下水道</v>
          </cell>
          <cell r="I2140" t="str">
            <v>単独</v>
          </cell>
          <cell r="J2140" t="str">
            <v>001</v>
          </cell>
          <cell r="K2140" t="str">
            <v>日向市浄化センター</v>
          </cell>
          <cell r="M2140" t="str">
            <v>1</v>
          </cell>
          <cell r="N2140" t="str">
            <v>1</v>
          </cell>
          <cell r="Q2140">
            <v>32051</v>
          </cell>
          <cell r="R2140" t="str">
            <v>昭和</v>
          </cell>
          <cell r="S2140">
            <v>62</v>
          </cell>
          <cell r="T2140">
            <v>10</v>
          </cell>
          <cell r="AB2140">
            <v>49800</v>
          </cell>
          <cell r="AC2140" t="str">
            <v>塩見川水域</v>
          </cell>
          <cell r="AD2140" t="str">
            <v>Ａ</v>
          </cell>
          <cell r="AE2140" t="str">
            <v>ロ</v>
          </cell>
          <cell r="AF2140">
            <v>15</v>
          </cell>
          <cell r="AJ2140" t="str">
            <v>塩見川</v>
          </cell>
          <cell r="AQ2140" t="str">
            <v/>
          </cell>
          <cell r="AR2140" t="str">
            <v>標準活性汚泥法</v>
          </cell>
          <cell r="AS2140" t="str">
            <v>4520601001</v>
          </cell>
          <cell r="AT2140" t="str">
            <v/>
          </cell>
          <cell r="AU2140" t="str">
            <v>10</v>
          </cell>
          <cell r="AV2140" t="str">
            <v>10</v>
          </cell>
          <cell r="AW2140">
            <v>0</v>
          </cell>
          <cell r="AX2140">
            <v>0</v>
          </cell>
          <cell r="AY2140">
            <v>0</v>
          </cell>
          <cell r="AZ2140">
            <v>0</v>
          </cell>
          <cell r="BA2140">
            <v>0</v>
          </cell>
          <cell r="BD2140" t="str">
            <v/>
          </cell>
          <cell r="BE2140">
            <v>1</v>
          </cell>
          <cell r="BG2140" t="str">
            <v>1100</v>
          </cell>
        </row>
        <row r="2141">
          <cell r="B2141" t="str">
            <v>G452070106100100</v>
          </cell>
          <cell r="C2141" t="str">
            <v>45.宮崎県</v>
          </cell>
          <cell r="D2141" t="str">
            <v>207</v>
          </cell>
          <cell r="E2141" t="str">
            <v>串間市</v>
          </cell>
          <cell r="F2141" t="str">
            <v>01</v>
          </cell>
          <cell r="G2141" t="str">
            <v>公共 単独</v>
          </cell>
          <cell r="H2141" t="str">
            <v>公共下水道</v>
          </cell>
          <cell r="I2141" t="str">
            <v>単独</v>
          </cell>
          <cell r="J2141" t="str">
            <v>001</v>
          </cell>
          <cell r="K2141" t="str">
            <v>串間中央浄化センター</v>
          </cell>
          <cell r="M2141" t="str">
            <v>1</v>
          </cell>
          <cell r="N2141" t="str">
            <v>1</v>
          </cell>
          <cell r="Q2141">
            <v>38047</v>
          </cell>
          <cell r="R2141" t="str">
            <v>平成</v>
          </cell>
          <cell r="S2141">
            <v>16</v>
          </cell>
          <cell r="T2141">
            <v>3</v>
          </cell>
          <cell r="AB2141">
            <v>4100</v>
          </cell>
          <cell r="AC2141" t="str">
            <v>設定なし</v>
          </cell>
          <cell r="AF2141">
            <v>15</v>
          </cell>
          <cell r="AJ2141" t="str">
            <v>天神川</v>
          </cell>
          <cell r="AQ2141" t="str">
            <v/>
          </cell>
          <cell r="AR2141" t="str">
            <v>土壌被覆型礫間接触法</v>
          </cell>
          <cell r="AS2141" t="str">
            <v>4520701001</v>
          </cell>
          <cell r="AT2141" t="str">
            <v/>
          </cell>
          <cell r="AU2141" t="str">
            <v>10</v>
          </cell>
          <cell r="AV2141" t="str">
            <v>10</v>
          </cell>
          <cell r="AW2141">
            <v>0</v>
          </cell>
          <cell r="AX2141">
            <v>0</v>
          </cell>
          <cell r="AY2141">
            <v>0</v>
          </cell>
          <cell r="AZ2141">
            <v>0</v>
          </cell>
          <cell r="BA2141">
            <v>0</v>
          </cell>
          <cell r="BD2141" t="str">
            <v/>
          </cell>
          <cell r="BE2141">
            <v>1</v>
          </cell>
          <cell r="BG2141" t="str">
            <v>1100</v>
          </cell>
        </row>
        <row r="2142">
          <cell r="B2142" t="str">
            <v>G452080106100100</v>
          </cell>
          <cell r="C2142" t="str">
            <v>45.宮崎県</v>
          </cell>
          <cell r="D2142" t="str">
            <v>208</v>
          </cell>
          <cell r="E2142" t="str">
            <v>西都市</v>
          </cell>
          <cell r="F2142" t="str">
            <v>01</v>
          </cell>
          <cell r="G2142" t="str">
            <v>公共 単独</v>
          </cell>
          <cell r="H2142" t="str">
            <v>公共下水道</v>
          </cell>
          <cell r="I2142" t="str">
            <v>単独</v>
          </cell>
          <cell r="J2142" t="str">
            <v>001</v>
          </cell>
          <cell r="K2142" t="str">
            <v>西都浄化センター</v>
          </cell>
          <cell r="M2142" t="str">
            <v>1</v>
          </cell>
          <cell r="N2142" t="str">
            <v>1</v>
          </cell>
          <cell r="Q2142">
            <v>32874</v>
          </cell>
          <cell r="R2142" t="str">
            <v>平成</v>
          </cell>
          <cell r="S2142">
            <v>2</v>
          </cell>
          <cell r="T2142">
            <v>1</v>
          </cell>
          <cell r="AB2142">
            <v>37600</v>
          </cell>
          <cell r="AC2142" t="str">
            <v>三財川</v>
          </cell>
          <cell r="AD2142" t="str">
            <v>Ａ</v>
          </cell>
          <cell r="AE2142" t="str">
            <v>ロ</v>
          </cell>
          <cell r="AF2142">
            <v>15</v>
          </cell>
          <cell r="AI2142" t="str">
            <v>山路川</v>
          </cell>
          <cell r="AJ2142" t="str">
            <v>一ツ瀬川</v>
          </cell>
          <cell r="AQ2142" t="str">
            <v/>
          </cell>
          <cell r="AR2142" t="str">
            <v>標準活性汚泥法</v>
          </cell>
          <cell r="AS2142" t="str">
            <v>4520801001</v>
          </cell>
          <cell r="AT2142" t="str">
            <v/>
          </cell>
          <cell r="AU2142" t="str">
            <v>10</v>
          </cell>
          <cell r="AV2142" t="str">
            <v>10</v>
          </cell>
          <cell r="AW2142">
            <v>0</v>
          </cell>
          <cell r="AX2142">
            <v>0</v>
          </cell>
          <cell r="AY2142">
            <v>0</v>
          </cell>
          <cell r="AZ2142">
            <v>0</v>
          </cell>
          <cell r="BA2142">
            <v>0</v>
          </cell>
          <cell r="BD2142" t="str">
            <v/>
          </cell>
          <cell r="BE2142">
            <v>1</v>
          </cell>
          <cell r="BG2142" t="str">
            <v>1100</v>
          </cell>
        </row>
        <row r="2143">
          <cell r="B2143" t="str">
            <v>G453410106100100</v>
          </cell>
          <cell r="C2143" t="str">
            <v>45.宮崎県</v>
          </cell>
          <cell r="D2143" t="str">
            <v>341</v>
          </cell>
          <cell r="E2143" t="str">
            <v>三股町</v>
          </cell>
          <cell r="F2143" t="str">
            <v>01</v>
          </cell>
          <cell r="G2143" t="str">
            <v>公共 単独</v>
          </cell>
          <cell r="H2143" t="str">
            <v>公共下水道</v>
          </cell>
          <cell r="I2143" t="str">
            <v>単独</v>
          </cell>
          <cell r="J2143" t="str">
            <v>001</v>
          </cell>
          <cell r="K2143" t="str">
            <v>三股町中央浄化センター</v>
          </cell>
          <cell r="M2143" t="str">
            <v>1</v>
          </cell>
          <cell r="N2143" t="str">
            <v>1</v>
          </cell>
          <cell r="Q2143">
            <v>38412</v>
          </cell>
          <cell r="R2143" t="str">
            <v>平成</v>
          </cell>
          <cell r="S2143">
            <v>17</v>
          </cell>
          <cell r="T2143">
            <v>3</v>
          </cell>
          <cell r="AB2143">
            <v>44900</v>
          </cell>
          <cell r="AF2143">
            <v>15</v>
          </cell>
          <cell r="AI2143" t="str">
            <v>年見川分水路</v>
          </cell>
          <cell r="AK2143" t="str">
            <v>沖水川</v>
          </cell>
          <cell r="AQ2143" t="str">
            <v/>
          </cell>
          <cell r="AR2143" t="str">
            <v>オキシディションディッチ法</v>
          </cell>
          <cell r="AS2143" t="str">
            <v>4534101001</v>
          </cell>
          <cell r="AT2143" t="str">
            <v/>
          </cell>
          <cell r="AU2143" t="str">
            <v>10</v>
          </cell>
          <cell r="AV2143" t="str">
            <v>10</v>
          </cell>
          <cell r="AW2143">
            <v>0</v>
          </cell>
          <cell r="AX2143">
            <v>0</v>
          </cell>
          <cell r="AY2143">
            <v>0</v>
          </cell>
          <cell r="AZ2143">
            <v>0</v>
          </cell>
          <cell r="BA2143">
            <v>0</v>
          </cell>
          <cell r="BD2143" t="str">
            <v/>
          </cell>
          <cell r="BE2143">
            <v>1</v>
          </cell>
          <cell r="BG2143" t="str">
            <v>1100</v>
          </cell>
        </row>
        <row r="2144">
          <cell r="B2144" t="str">
            <v>G453820106100100</v>
          </cell>
          <cell r="C2144" t="str">
            <v>45.宮崎県</v>
          </cell>
          <cell r="D2144" t="str">
            <v>382</v>
          </cell>
          <cell r="E2144" t="str">
            <v>国富町</v>
          </cell>
          <cell r="F2144" t="str">
            <v>01</v>
          </cell>
          <cell r="G2144" t="str">
            <v>公共 単独</v>
          </cell>
          <cell r="H2144" t="str">
            <v>公共下水道</v>
          </cell>
          <cell r="I2144" t="str">
            <v>単独</v>
          </cell>
          <cell r="J2144" t="str">
            <v>001</v>
          </cell>
          <cell r="K2144" t="str">
            <v>国富浄化センター</v>
          </cell>
          <cell r="M2144" t="str">
            <v>1</v>
          </cell>
          <cell r="N2144" t="str">
            <v>1</v>
          </cell>
          <cell r="Q2144">
            <v>37316</v>
          </cell>
          <cell r="R2144" t="str">
            <v>平成</v>
          </cell>
          <cell r="S2144">
            <v>14</v>
          </cell>
          <cell r="T2144">
            <v>3</v>
          </cell>
          <cell r="AB2144">
            <v>27700</v>
          </cell>
          <cell r="AF2144">
            <v>15</v>
          </cell>
          <cell r="AK2144" t="str">
            <v>本庄川</v>
          </cell>
          <cell r="AN2144">
            <v>4.2</v>
          </cell>
          <cell r="AO2144" t="str">
            <v>宮崎市</v>
          </cell>
          <cell r="AQ2144" t="str">
            <v/>
          </cell>
          <cell r="AR2144" t="str">
            <v>オキシディションディッチ法</v>
          </cell>
          <cell r="AS2144" t="str">
            <v>4538201001</v>
          </cell>
          <cell r="AT2144" t="str">
            <v/>
          </cell>
          <cell r="AU2144" t="str">
            <v>10</v>
          </cell>
          <cell r="AV2144" t="str">
            <v>10</v>
          </cell>
          <cell r="AW2144">
            <v>0</v>
          </cell>
          <cell r="AX2144">
            <v>0</v>
          </cell>
          <cell r="AY2144">
            <v>0</v>
          </cell>
          <cell r="AZ2144">
            <v>0</v>
          </cell>
          <cell r="BA2144">
            <v>0</v>
          </cell>
          <cell r="BD2144" t="str">
            <v/>
          </cell>
          <cell r="BE2144">
            <v>1</v>
          </cell>
          <cell r="BG2144" t="str">
            <v>1100</v>
          </cell>
        </row>
        <row r="2145">
          <cell r="B2145" t="str">
            <v>G453830106100100</v>
          </cell>
          <cell r="C2145" t="str">
            <v>45.宮崎県</v>
          </cell>
          <cell r="D2145" t="str">
            <v>383</v>
          </cell>
          <cell r="E2145" t="str">
            <v>綾町</v>
          </cell>
          <cell r="F2145" t="str">
            <v>01</v>
          </cell>
          <cell r="G2145" t="str">
            <v>公共 単独</v>
          </cell>
          <cell r="H2145" t="str">
            <v>公共下水道</v>
          </cell>
          <cell r="I2145" t="str">
            <v>単独</v>
          </cell>
          <cell r="J2145" t="str">
            <v>001</v>
          </cell>
          <cell r="K2145" t="str">
            <v>綾浄化センター</v>
          </cell>
          <cell r="M2145" t="str">
            <v>1</v>
          </cell>
          <cell r="N2145" t="str">
            <v>1</v>
          </cell>
          <cell r="Q2145">
            <v>38412</v>
          </cell>
          <cell r="R2145" t="str">
            <v>平成</v>
          </cell>
          <cell r="S2145">
            <v>17</v>
          </cell>
          <cell r="T2145">
            <v>3</v>
          </cell>
          <cell r="AB2145">
            <v>6200</v>
          </cell>
          <cell r="AC2145" t="str">
            <v>大淀川水域</v>
          </cell>
          <cell r="AD2145" t="str">
            <v>Ａ</v>
          </cell>
          <cell r="AE2145" t="str">
            <v>ロ</v>
          </cell>
          <cell r="AF2145">
            <v>15</v>
          </cell>
          <cell r="AK2145" t="str">
            <v>本庄川</v>
          </cell>
          <cell r="AQ2145" t="str">
            <v/>
          </cell>
          <cell r="AR2145" t="str">
            <v>オキシディションディッチ法</v>
          </cell>
          <cell r="AS2145" t="str">
            <v>4538301001</v>
          </cell>
          <cell r="AT2145" t="str">
            <v/>
          </cell>
          <cell r="AU2145" t="str">
            <v>10</v>
          </cell>
          <cell r="AV2145" t="str">
            <v>10</v>
          </cell>
          <cell r="AW2145">
            <v>0</v>
          </cell>
          <cell r="AX2145">
            <v>0</v>
          </cell>
          <cell r="AY2145">
            <v>0</v>
          </cell>
          <cell r="AZ2145">
            <v>0</v>
          </cell>
          <cell r="BA2145">
            <v>0</v>
          </cell>
          <cell r="BD2145" t="str">
            <v/>
          </cell>
          <cell r="BE2145">
            <v>1</v>
          </cell>
          <cell r="BG2145" t="str">
            <v>1100</v>
          </cell>
        </row>
        <row r="2146">
          <cell r="B2146" t="str">
            <v>G454010106100100</v>
          </cell>
          <cell r="C2146" t="str">
            <v>45.宮崎県</v>
          </cell>
          <cell r="D2146" t="str">
            <v>401</v>
          </cell>
          <cell r="E2146" t="str">
            <v>高鍋町</v>
          </cell>
          <cell r="F2146" t="str">
            <v>01</v>
          </cell>
          <cell r="G2146" t="str">
            <v>公共 単独</v>
          </cell>
          <cell r="H2146" t="str">
            <v>公共下水道</v>
          </cell>
          <cell r="I2146" t="str">
            <v>単独</v>
          </cell>
          <cell r="J2146" t="str">
            <v>001</v>
          </cell>
          <cell r="K2146" t="str">
            <v>高鍋浄化センター</v>
          </cell>
          <cell r="M2146" t="str">
            <v>1</v>
          </cell>
          <cell r="N2146" t="str">
            <v>1</v>
          </cell>
          <cell r="Q2146">
            <v>35151</v>
          </cell>
          <cell r="R2146" t="str">
            <v>平成</v>
          </cell>
          <cell r="S2146">
            <v>8</v>
          </cell>
          <cell r="T2146">
            <v>3</v>
          </cell>
          <cell r="AB2146">
            <v>14000</v>
          </cell>
          <cell r="AC2146" t="str">
            <v>小丸川水系宮田川</v>
          </cell>
          <cell r="AD2146" t="str">
            <v>Ａ</v>
          </cell>
          <cell r="AE2146" t="str">
            <v>ロ</v>
          </cell>
          <cell r="AF2146">
            <v>13</v>
          </cell>
          <cell r="AK2146" t="str">
            <v>小丸川水系宮田川</v>
          </cell>
          <cell r="AQ2146" t="str">
            <v/>
          </cell>
          <cell r="AR2146" t="str">
            <v>オキシディションディッチ法</v>
          </cell>
          <cell r="AS2146" t="str">
            <v>4540101001</v>
          </cell>
          <cell r="AT2146" t="str">
            <v/>
          </cell>
          <cell r="AU2146" t="str">
            <v>10</v>
          </cell>
          <cell r="AV2146" t="str">
            <v>10</v>
          </cell>
          <cell r="AW2146">
            <v>0</v>
          </cell>
          <cell r="AX2146">
            <v>0</v>
          </cell>
          <cell r="AY2146">
            <v>0</v>
          </cell>
          <cell r="AZ2146">
            <v>0</v>
          </cell>
          <cell r="BA2146">
            <v>0</v>
          </cell>
          <cell r="BD2146" t="str">
            <v/>
          </cell>
          <cell r="BE2146">
            <v>1</v>
          </cell>
          <cell r="BG2146" t="str">
            <v>1100</v>
          </cell>
        </row>
        <row r="2147">
          <cell r="B2147" t="str">
            <v>G454030206100100</v>
          </cell>
          <cell r="C2147" t="str">
            <v>45.宮崎県</v>
          </cell>
          <cell r="D2147" t="str">
            <v>403</v>
          </cell>
          <cell r="E2147" t="str">
            <v>西米良村</v>
          </cell>
          <cell r="F2147" t="str">
            <v>02</v>
          </cell>
          <cell r="G2147" t="str">
            <v>特環 単独</v>
          </cell>
          <cell r="H2147" t="str">
            <v>特定環境保全公共下水道</v>
          </cell>
          <cell r="I2147" t="str">
            <v>単独</v>
          </cell>
          <cell r="J2147" t="str">
            <v>001</v>
          </cell>
          <cell r="K2147" t="str">
            <v>西米良浄化センター</v>
          </cell>
          <cell r="M2147" t="str">
            <v>1</v>
          </cell>
          <cell r="N2147" t="str">
            <v>1</v>
          </cell>
          <cell r="Q2147">
            <v>36981</v>
          </cell>
          <cell r="R2147" t="str">
            <v>平成</v>
          </cell>
          <cell r="S2147">
            <v>13</v>
          </cell>
          <cell r="T2147">
            <v>3</v>
          </cell>
          <cell r="AB2147">
            <v>2317</v>
          </cell>
          <cell r="AC2147" t="str">
            <v>一ツ瀬川</v>
          </cell>
          <cell r="AD2147" t="str">
            <v>ＡＡ</v>
          </cell>
          <cell r="AE2147" t="str">
            <v>ロ</v>
          </cell>
          <cell r="AF2147">
            <v>15</v>
          </cell>
          <cell r="AG2147">
            <v>20</v>
          </cell>
          <cell r="AH2147">
            <v>3</v>
          </cell>
          <cell r="AI2147" t="str">
            <v>支川</v>
          </cell>
          <cell r="AJ2147" t="str">
            <v>一ツ瀬川</v>
          </cell>
          <cell r="AL2147" t="str">
            <v>別当谷川</v>
          </cell>
          <cell r="AM2147">
            <v>4</v>
          </cell>
          <cell r="AO2147" t="str">
            <v>西米良村</v>
          </cell>
          <cell r="AQ2147" t="str">
            <v/>
          </cell>
          <cell r="AR2147" t="str">
            <v>オキシディションディッチ法</v>
          </cell>
          <cell r="AS2147" t="str">
            <v>4540302001</v>
          </cell>
          <cell r="AT2147" t="str">
            <v/>
          </cell>
          <cell r="AU2147" t="str">
            <v>10</v>
          </cell>
          <cell r="AV2147" t="str">
            <v>10</v>
          </cell>
          <cell r="AW2147">
            <v>0</v>
          </cell>
          <cell r="AX2147">
            <v>0</v>
          </cell>
          <cell r="AY2147">
            <v>0</v>
          </cell>
          <cell r="AZ2147">
            <v>0</v>
          </cell>
          <cell r="BA2147">
            <v>0</v>
          </cell>
          <cell r="BD2147" t="str">
            <v/>
          </cell>
          <cell r="BE2147">
            <v>1</v>
          </cell>
          <cell r="BG2147" t="str">
            <v>1100</v>
          </cell>
        </row>
        <row r="2148">
          <cell r="B2148" t="str">
            <v>G454040206100100</v>
          </cell>
          <cell r="C2148" t="str">
            <v>45.宮崎県</v>
          </cell>
          <cell r="D2148" t="str">
            <v>404</v>
          </cell>
          <cell r="E2148" t="str">
            <v>木城町</v>
          </cell>
          <cell r="F2148" t="str">
            <v>02</v>
          </cell>
          <cell r="G2148" t="str">
            <v>特環 単独</v>
          </cell>
          <cell r="H2148" t="str">
            <v>特定環境保全公共下水道</v>
          </cell>
          <cell r="I2148" t="str">
            <v>単独</v>
          </cell>
          <cell r="J2148" t="str">
            <v>001</v>
          </cell>
          <cell r="K2148" t="str">
            <v>木城浄化センター</v>
          </cell>
          <cell r="M2148" t="str">
            <v>1</v>
          </cell>
          <cell r="Q2148">
            <v>38047</v>
          </cell>
          <cell r="R2148" t="str">
            <v>平成</v>
          </cell>
          <cell r="S2148">
            <v>16</v>
          </cell>
          <cell r="T2148">
            <v>3</v>
          </cell>
          <cell r="AB2148">
            <v>5500</v>
          </cell>
          <cell r="AC2148" t="str">
            <v>設定なし</v>
          </cell>
          <cell r="AF2148">
            <v>15</v>
          </cell>
          <cell r="AK2148" t="str">
            <v>小丸川</v>
          </cell>
          <cell r="AQ2148" t="str">
            <v/>
          </cell>
          <cell r="AR2148" t="str">
            <v>嫌気好気ろ床法</v>
          </cell>
          <cell r="AS2148" t="str">
            <v>4540402001</v>
          </cell>
          <cell r="AT2148" t="str">
            <v/>
          </cell>
          <cell r="AU2148" t="str">
            <v>00</v>
          </cell>
          <cell r="AV2148" t="str">
            <v>00</v>
          </cell>
          <cell r="AW2148">
            <v>0</v>
          </cell>
          <cell r="AX2148">
            <v>0</v>
          </cell>
          <cell r="AY2148">
            <v>0</v>
          </cell>
          <cell r="AZ2148">
            <v>0</v>
          </cell>
          <cell r="BA2148">
            <v>0</v>
          </cell>
          <cell r="BD2148" t="str">
            <v/>
          </cell>
          <cell r="BE2148">
            <v>1</v>
          </cell>
          <cell r="BG2148" t="str">
            <v>1000</v>
          </cell>
        </row>
        <row r="2149">
          <cell r="B2149" t="str">
            <v>G454050106100100</v>
          </cell>
          <cell r="C2149" t="str">
            <v>45.宮崎県</v>
          </cell>
          <cell r="D2149" t="str">
            <v>405</v>
          </cell>
          <cell r="E2149" t="str">
            <v>川南町</v>
          </cell>
          <cell r="F2149" t="str">
            <v>01</v>
          </cell>
          <cell r="G2149" t="str">
            <v>公共 単独</v>
          </cell>
          <cell r="H2149" t="str">
            <v>公共下水道</v>
          </cell>
          <cell r="I2149" t="str">
            <v>単独</v>
          </cell>
          <cell r="J2149" t="str">
            <v>001</v>
          </cell>
          <cell r="K2149" t="str">
            <v>川南浄化センター</v>
          </cell>
          <cell r="M2149" t="str">
            <v>1</v>
          </cell>
          <cell r="N2149" t="str">
            <v>1</v>
          </cell>
          <cell r="Q2149">
            <v>38058</v>
          </cell>
          <cell r="R2149" t="str">
            <v>平成</v>
          </cell>
          <cell r="S2149">
            <v>16</v>
          </cell>
          <cell r="T2149">
            <v>3</v>
          </cell>
          <cell r="AB2149">
            <v>10200</v>
          </cell>
          <cell r="AC2149" t="str">
            <v>平田川水域</v>
          </cell>
          <cell r="AD2149" t="str">
            <v>Ａ</v>
          </cell>
          <cell r="AE2149" t="str">
            <v>イ</v>
          </cell>
          <cell r="AF2149">
            <v>15</v>
          </cell>
          <cell r="AJ2149" t="str">
            <v>平田川</v>
          </cell>
          <cell r="AQ2149" t="str">
            <v/>
          </cell>
          <cell r="AR2149" t="str">
            <v>オキシディションディッチ法</v>
          </cell>
          <cell r="AS2149" t="str">
            <v>4540501001</v>
          </cell>
          <cell r="AT2149" t="str">
            <v/>
          </cell>
          <cell r="AU2149" t="str">
            <v>10</v>
          </cell>
          <cell r="AV2149" t="str">
            <v>10</v>
          </cell>
          <cell r="AW2149">
            <v>0</v>
          </cell>
          <cell r="AX2149">
            <v>0</v>
          </cell>
          <cell r="AY2149">
            <v>0</v>
          </cell>
          <cell r="AZ2149">
            <v>0</v>
          </cell>
          <cell r="BA2149">
            <v>0</v>
          </cell>
          <cell r="BD2149" t="str">
            <v/>
          </cell>
          <cell r="BE2149">
            <v>1</v>
          </cell>
          <cell r="BG2149" t="str">
            <v>1100</v>
          </cell>
        </row>
        <row r="2150">
          <cell r="B2150" t="str">
            <v>G454290206100100</v>
          </cell>
          <cell r="C2150" t="str">
            <v>45.宮崎県</v>
          </cell>
          <cell r="D2150" t="str">
            <v>429</v>
          </cell>
          <cell r="E2150" t="str">
            <v>諸塚村</v>
          </cell>
          <cell r="F2150" t="str">
            <v>02</v>
          </cell>
          <cell r="G2150" t="str">
            <v>特環 単独</v>
          </cell>
          <cell r="H2150" t="str">
            <v>特定環境保全公共下水道</v>
          </cell>
          <cell r="I2150" t="str">
            <v>単独</v>
          </cell>
          <cell r="J2150" t="str">
            <v>001</v>
          </cell>
          <cell r="K2150" t="str">
            <v>諸塚浄化センター</v>
          </cell>
          <cell r="M2150" t="str">
            <v>1</v>
          </cell>
          <cell r="N2150" t="str">
            <v>1</v>
          </cell>
          <cell r="Q2150">
            <v>37681</v>
          </cell>
          <cell r="R2150" t="str">
            <v>平成</v>
          </cell>
          <cell r="S2150">
            <v>15</v>
          </cell>
          <cell r="T2150">
            <v>3</v>
          </cell>
          <cell r="AB2150">
            <v>1492</v>
          </cell>
          <cell r="AC2150" t="str">
            <v>耳川</v>
          </cell>
          <cell r="AJ2150" t="str">
            <v>耳川</v>
          </cell>
          <cell r="AL2150" t="str">
            <v>日向市上水道取水口</v>
          </cell>
          <cell r="AN2150">
            <v>35</v>
          </cell>
          <cell r="AO2150" t="str">
            <v>日向市</v>
          </cell>
          <cell r="AQ2150" t="str">
            <v/>
          </cell>
          <cell r="AR2150" t="str">
            <v>回転生物接触法</v>
          </cell>
          <cell r="AS2150" t="str">
            <v>4542902001</v>
          </cell>
          <cell r="AT2150" t="str">
            <v/>
          </cell>
          <cell r="AU2150" t="str">
            <v>10</v>
          </cell>
          <cell r="AV2150" t="str">
            <v>10</v>
          </cell>
          <cell r="AW2150">
            <v>0</v>
          </cell>
          <cell r="AX2150">
            <v>0</v>
          </cell>
          <cell r="AY2150">
            <v>0</v>
          </cell>
          <cell r="AZ2150">
            <v>0</v>
          </cell>
          <cell r="BA2150">
            <v>0</v>
          </cell>
          <cell r="BD2150" t="str">
            <v/>
          </cell>
          <cell r="BE2150">
            <v>1</v>
          </cell>
          <cell r="BG2150" t="str">
            <v>1100</v>
          </cell>
        </row>
        <row r="2151">
          <cell r="B2151" t="str">
            <v>G454410106100100</v>
          </cell>
          <cell r="C2151" t="str">
            <v>45.宮崎県</v>
          </cell>
          <cell r="D2151" t="str">
            <v>441</v>
          </cell>
          <cell r="E2151" t="str">
            <v>高千穂町</v>
          </cell>
          <cell r="F2151" t="str">
            <v>01</v>
          </cell>
          <cell r="G2151" t="str">
            <v>公共 単独</v>
          </cell>
          <cell r="H2151" t="str">
            <v>公共下水道</v>
          </cell>
          <cell r="I2151" t="str">
            <v>単独</v>
          </cell>
          <cell r="J2151" t="str">
            <v>001</v>
          </cell>
          <cell r="K2151" t="str">
            <v>高千穂浄化センター</v>
          </cell>
          <cell r="M2151" t="str">
            <v>1</v>
          </cell>
          <cell r="N2151" t="str">
            <v>1</v>
          </cell>
          <cell r="Q2151">
            <v>37257</v>
          </cell>
          <cell r="R2151" t="str">
            <v>平成</v>
          </cell>
          <cell r="S2151">
            <v>14</v>
          </cell>
          <cell r="T2151">
            <v>1</v>
          </cell>
          <cell r="AB2151">
            <v>9300</v>
          </cell>
          <cell r="AC2151" t="str">
            <v>五ヶ瀬川</v>
          </cell>
          <cell r="AD2151" t="str">
            <v>Ａ</v>
          </cell>
          <cell r="AE2151" t="str">
            <v>イ</v>
          </cell>
          <cell r="AF2151">
            <v>15</v>
          </cell>
          <cell r="AK2151" t="str">
            <v>神代川</v>
          </cell>
          <cell r="AQ2151" t="str">
            <v/>
          </cell>
          <cell r="AR2151" t="str">
            <v>オキシディションディッチ法</v>
          </cell>
          <cell r="AS2151" t="str">
            <v>4544101001</v>
          </cell>
          <cell r="AT2151" t="str">
            <v/>
          </cell>
          <cell r="AU2151" t="str">
            <v>10</v>
          </cell>
          <cell r="AV2151" t="str">
            <v>10</v>
          </cell>
          <cell r="AW2151">
            <v>0</v>
          </cell>
          <cell r="AX2151">
            <v>0</v>
          </cell>
          <cell r="AY2151">
            <v>0</v>
          </cell>
          <cell r="AZ2151">
            <v>0</v>
          </cell>
          <cell r="BA2151">
            <v>0</v>
          </cell>
          <cell r="BD2151" t="str">
            <v/>
          </cell>
          <cell r="BE2151">
            <v>1</v>
          </cell>
          <cell r="BG2151" t="str">
            <v>1100</v>
          </cell>
        </row>
        <row r="2152">
          <cell r="B2152" t="str">
            <v>G462010106100100</v>
          </cell>
          <cell r="C2152" t="str">
            <v>46.鹿児島県</v>
          </cell>
          <cell r="D2152" t="str">
            <v>201</v>
          </cell>
          <cell r="E2152" t="str">
            <v>鹿児島市</v>
          </cell>
          <cell r="F2152" t="str">
            <v>01</v>
          </cell>
          <cell r="G2152" t="str">
            <v>公共 単独</v>
          </cell>
          <cell r="H2152" t="str">
            <v>公共下水道</v>
          </cell>
          <cell r="I2152" t="str">
            <v>単独</v>
          </cell>
          <cell r="J2152" t="str">
            <v>001</v>
          </cell>
          <cell r="K2152" t="str">
            <v>錦江処理場</v>
          </cell>
          <cell r="M2152" t="str">
            <v>1</v>
          </cell>
          <cell r="Q2152">
            <v>20394</v>
          </cell>
          <cell r="R2152" t="str">
            <v>昭和</v>
          </cell>
          <cell r="S2152">
            <v>30</v>
          </cell>
          <cell r="T2152">
            <v>11</v>
          </cell>
          <cell r="AB2152">
            <v>14315</v>
          </cell>
          <cell r="AC2152" t="str">
            <v>甲突川（全域）</v>
          </cell>
          <cell r="AD2152" t="str">
            <v>Ａ</v>
          </cell>
          <cell r="AE2152" t="str">
            <v>イ</v>
          </cell>
          <cell r="AF2152">
            <v>15</v>
          </cell>
          <cell r="AJ2152" t="str">
            <v>甲突川</v>
          </cell>
          <cell r="AL2152" t="str">
            <v>小野取水口</v>
          </cell>
          <cell r="AM2152">
            <v>6.4</v>
          </cell>
          <cell r="AO2152" t="str">
            <v>鹿児島市</v>
          </cell>
          <cell r="AQ2152" t="str">
            <v/>
          </cell>
          <cell r="AR2152" t="str">
            <v>その他処理方法</v>
          </cell>
          <cell r="AS2152" t="str">
            <v>4620101001</v>
          </cell>
          <cell r="AT2152" t="str">
            <v/>
          </cell>
          <cell r="AU2152" t="str">
            <v>00</v>
          </cell>
          <cell r="AV2152" t="str">
            <v>00</v>
          </cell>
          <cell r="AW2152">
            <v>0</v>
          </cell>
          <cell r="AX2152">
            <v>0</v>
          </cell>
          <cell r="AY2152">
            <v>0</v>
          </cell>
          <cell r="AZ2152">
            <v>0</v>
          </cell>
          <cell r="BA2152">
            <v>0</v>
          </cell>
          <cell r="BD2152" t="str">
            <v/>
          </cell>
          <cell r="BE2152">
            <v>1</v>
          </cell>
          <cell r="BG2152" t="str">
            <v>1000</v>
          </cell>
        </row>
        <row r="2153">
          <cell r="B2153" t="str">
            <v>G462010106100200</v>
          </cell>
          <cell r="C2153" t="str">
            <v>46.鹿児島県</v>
          </cell>
          <cell r="D2153" t="str">
            <v>201</v>
          </cell>
          <cell r="E2153" t="str">
            <v>鹿児島市</v>
          </cell>
          <cell r="F2153" t="str">
            <v>01</v>
          </cell>
          <cell r="G2153" t="str">
            <v>公共 単独</v>
          </cell>
          <cell r="H2153" t="str">
            <v>公共下水道</v>
          </cell>
          <cell r="I2153" t="str">
            <v>単独</v>
          </cell>
          <cell r="J2153" t="str">
            <v>002</v>
          </cell>
          <cell r="K2153" t="str">
            <v>南部処理場</v>
          </cell>
          <cell r="M2153" t="str">
            <v>1</v>
          </cell>
          <cell r="N2153" t="str">
            <v>1</v>
          </cell>
          <cell r="Q2153">
            <v>29037</v>
          </cell>
          <cell r="R2153" t="str">
            <v>昭和</v>
          </cell>
          <cell r="S2153">
            <v>54</v>
          </cell>
          <cell r="T2153">
            <v>7</v>
          </cell>
          <cell r="AB2153">
            <v>71270</v>
          </cell>
          <cell r="AC2153" t="str">
            <v>永田川（全域）</v>
          </cell>
          <cell r="AD2153" t="str">
            <v>Ｂ</v>
          </cell>
          <cell r="AE2153" t="str">
            <v>ハ</v>
          </cell>
          <cell r="AF2153">
            <v>15</v>
          </cell>
          <cell r="AJ2153" t="str">
            <v>永田川</v>
          </cell>
          <cell r="AQ2153" t="str">
            <v/>
          </cell>
          <cell r="AR2153" t="str">
            <v>標準活性汚泥法</v>
          </cell>
          <cell r="AS2153" t="str">
            <v>4620101002</v>
          </cell>
          <cell r="AT2153" t="str">
            <v/>
          </cell>
          <cell r="AU2153" t="str">
            <v>10</v>
          </cell>
          <cell r="AV2153" t="str">
            <v>10</v>
          </cell>
          <cell r="AW2153">
            <v>0</v>
          </cell>
          <cell r="AX2153">
            <v>0</v>
          </cell>
          <cell r="AY2153">
            <v>0</v>
          </cell>
          <cell r="AZ2153">
            <v>0</v>
          </cell>
          <cell r="BA2153">
            <v>0</v>
          </cell>
          <cell r="BD2153" t="str">
            <v/>
          </cell>
          <cell r="BE2153">
            <v>1</v>
          </cell>
          <cell r="BG2153" t="str">
            <v>1100</v>
          </cell>
        </row>
        <row r="2154">
          <cell r="B2154" t="str">
            <v>G462010106100300</v>
          </cell>
          <cell r="C2154" t="str">
            <v>46.鹿児島県</v>
          </cell>
          <cell r="D2154" t="str">
            <v>201</v>
          </cell>
          <cell r="E2154" t="str">
            <v>鹿児島市</v>
          </cell>
          <cell r="F2154" t="str">
            <v>01</v>
          </cell>
          <cell r="G2154" t="str">
            <v>公共 単独</v>
          </cell>
          <cell r="H2154" t="str">
            <v>公共下水道</v>
          </cell>
          <cell r="I2154" t="str">
            <v>単独</v>
          </cell>
          <cell r="J2154" t="str">
            <v>003</v>
          </cell>
          <cell r="K2154" t="str">
            <v>南部処理場脇田分場</v>
          </cell>
          <cell r="M2154" t="str">
            <v>1</v>
          </cell>
          <cell r="Q2154">
            <v>27089</v>
          </cell>
          <cell r="R2154" t="str">
            <v>昭和</v>
          </cell>
          <cell r="S2154">
            <v>49</v>
          </cell>
          <cell r="T2154">
            <v>3</v>
          </cell>
          <cell r="AB2154">
            <v>2936</v>
          </cell>
          <cell r="AC2154" t="str">
            <v>脇田川（全域）</v>
          </cell>
          <cell r="AD2154" t="str">
            <v>Ｂ</v>
          </cell>
          <cell r="AE2154" t="str">
            <v>イ</v>
          </cell>
          <cell r="AF2154">
            <v>15</v>
          </cell>
          <cell r="AJ2154" t="str">
            <v>脇田川</v>
          </cell>
          <cell r="AQ2154" t="str">
            <v/>
          </cell>
          <cell r="AR2154" t="str">
            <v>標準活性汚泥法</v>
          </cell>
          <cell r="AS2154" t="str">
            <v>4620101003</v>
          </cell>
          <cell r="AT2154" t="str">
            <v/>
          </cell>
          <cell r="AU2154" t="str">
            <v>00</v>
          </cell>
          <cell r="AV2154" t="str">
            <v>00</v>
          </cell>
          <cell r="AW2154">
            <v>0</v>
          </cell>
          <cell r="AX2154">
            <v>0</v>
          </cell>
          <cell r="AY2154">
            <v>0</v>
          </cell>
          <cell r="AZ2154">
            <v>0</v>
          </cell>
          <cell r="BA2154">
            <v>0</v>
          </cell>
          <cell r="BD2154" t="str">
            <v/>
          </cell>
          <cell r="BE2154">
            <v>1</v>
          </cell>
          <cell r="BG2154" t="str">
            <v>1000</v>
          </cell>
        </row>
        <row r="2155">
          <cell r="B2155" t="str">
            <v>G462010106100500</v>
          </cell>
          <cell r="C2155" t="str">
            <v>46.鹿児島県</v>
          </cell>
          <cell r="D2155" t="str">
            <v>201</v>
          </cell>
          <cell r="E2155" t="str">
            <v>鹿児島市</v>
          </cell>
          <cell r="F2155" t="str">
            <v>01</v>
          </cell>
          <cell r="G2155" t="str">
            <v>公共 単独</v>
          </cell>
          <cell r="H2155" t="str">
            <v>公共下水道</v>
          </cell>
          <cell r="I2155" t="str">
            <v>単独</v>
          </cell>
          <cell r="J2155" t="str">
            <v>005</v>
          </cell>
          <cell r="K2155" t="str">
            <v>谷山処理場</v>
          </cell>
          <cell r="M2155" t="str">
            <v>1</v>
          </cell>
          <cell r="N2155" t="str">
            <v>1</v>
          </cell>
          <cell r="Q2155">
            <v>36647</v>
          </cell>
          <cell r="R2155" t="str">
            <v>平成</v>
          </cell>
          <cell r="S2155">
            <v>12</v>
          </cell>
          <cell r="T2155">
            <v>5</v>
          </cell>
          <cell r="AB2155">
            <v>45000</v>
          </cell>
          <cell r="AC2155" t="str">
            <v>鹿児島湾</v>
          </cell>
          <cell r="AD2155" t="str">
            <v>Ａ-Ⅱ</v>
          </cell>
          <cell r="AE2155" t="str">
            <v>イ</v>
          </cell>
          <cell r="AF2155">
            <v>15</v>
          </cell>
          <cell r="AI2155" t="str">
            <v>鹿児島湾</v>
          </cell>
          <cell r="AQ2155" t="str">
            <v/>
          </cell>
          <cell r="AR2155" t="str">
            <v>標準活性汚泥法</v>
          </cell>
          <cell r="AS2155" t="str">
            <v>4620101005</v>
          </cell>
          <cell r="AT2155" t="str">
            <v/>
          </cell>
          <cell r="AU2155" t="str">
            <v>10</v>
          </cell>
          <cell r="AV2155" t="str">
            <v>10</v>
          </cell>
          <cell r="AW2155">
            <v>0</v>
          </cell>
          <cell r="AX2155">
            <v>0</v>
          </cell>
          <cell r="AY2155">
            <v>0</v>
          </cell>
          <cell r="AZ2155">
            <v>0</v>
          </cell>
          <cell r="BA2155">
            <v>0</v>
          </cell>
          <cell r="BD2155" t="str">
            <v/>
          </cell>
          <cell r="BE2155">
            <v>1</v>
          </cell>
          <cell r="BG2155" t="str">
            <v>1100</v>
          </cell>
        </row>
        <row r="2156">
          <cell r="B2156" t="str">
            <v>G462010106100600</v>
          </cell>
          <cell r="C2156" t="str">
            <v>46.鹿児島県</v>
          </cell>
          <cell r="D2156" t="str">
            <v>201</v>
          </cell>
          <cell r="E2156" t="str">
            <v>鹿児島市</v>
          </cell>
          <cell r="F2156" t="str">
            <v>01</v>
          </cell>
          <cell r="G2156" t="str">
            <v>公共 単独</v>
          </cell>
          <cell r="H2156" t="str">
            <v>公共下水道</v>
          </cell>
          <cell r="I2156" t="str">
            <v>単独</v>
          </cell>
          <cell r="J2156" t="str">
            <v>006</v>
          </cell>
          <cell r="K2156" t="str">
            <v>1号用地処理場</v>
          </cell>
          <cell r="M2156" t="str">
            <v>1</v>
          </cell>
          <cell r="N2156" t="str">
            <v>1</v>
          </cell>
          <cell r="Q2156">
            <v>32417</v>
          </cell>
          <cell r="R2156" t="str">
            <v>昭和</v>
          </cell>
          <cell r="S2156">
            <v>63</v>
          </cell>
          <cell r="T2156">
            <v>10</v>
          </cell>
          <cell r="AB2156">
            <v>49495</v>
          </cell>
          <cell r="AC2156" t="str">
            <v>鹿児島湾</v>
          </cell>
          <cell r="AD2156" t="str">
            <v>Ａ-Ⅱ</v>
          </cell>
          <cell r="AE2156" t="str">
            <v>イ</v>
          </cell>
          <cell r="AI2156" t="str">
            <v>鹿児島湾</v>
          </cell>
          <cell r="AQ2156" t="str">
            <v/>
          </cell>
          <cell r="AR2156" t="str">
            <v>その他処理方法</v>
          </cell>
          <cell r="AS2156" t="str">
            <v>4620101006</v>
          </cell>
          <cell r="AT2156" t="str">
            <v/>
          </cell>
          <cell r="AU2156" t="str">
            <v>10</v>
          </cell>
          <cell r="AV2156" t="str">
            <v>10</v>
          </cell>
          <cell r="AW2156">
            <v>0</v>
          </cell>
          <cell r="AX2156">
            <v>0</v>
          </cell>
          <cell r="AY2156">
            <v>0</v>
          </cell>
          <cell r="AZ2156">
            <v>0</v>
          </cell>
          <cell r="BA2156">
            <v>0</v>
          </cell>
          <cell r="BD2156" t="str">
            <v/>
          </cell>
          <cell r="BE2156">
            <v>1</v>
          </cell>
          <cell r="BG2156" t="str">
            <v>1100</v>
          </cell>
        </row>
        <row r="2157">
          <cell r="B2157" t="str">
            <v>G462010106100700</v>
          </cell>
          <cell r="C2157" t="str">
            <v>46.鹿児島県</v>
          </cell>
          <cell r="D2157" t="str">
            <v>201</v>
          </cell>
          <cell r="E2157" t="str">
            <v>鹿児島市</v>
          </cell>
          <cell r="F2157" t="str">
            <v>01</v>
          </cell>
          <cell r="G2157" t="str">
            <v>公共 単独</v>
          </cell>
          <cell r="H2157" t="str">
            <v>公共下水道</v>
          </cell>
          <cell r="I2157" t="str">
            <v>単独</v>
          </cell>
          <cell r="J2157" t="str">
            <v>007</v>
          </cell>
          <cell r="K2157" t="str">
            <v>下水汚泥堆肥化場</v>
          </cell>
          <cell r="O2157" t="str">
            <v>1</v>
          </cell>
          <cell r="Q2157">
            <v>29677</v>
          </cell>
          <cell r="R2157" t="str">
            <v>昭和</v>
          </cell>
          <cell r="S2157">
            <v>56</v>
          </cell>
          <cell r="T2157">
            <v>4</v>
          </cell>
          <cell r="AB2157">
            <v>16500</v>
          </cell>
          <cell r="AC2157" t="str">
            <v>該当しない</v>
          </cell>
          <cell r="AI2157" t="str">
            <v>該当しない</v>
          </cell>
          <cell r="AP2157" t="str">
            <v>堆肥化施設</v>
          </cell>
          <cell r="AQ2157" t="str">
            <v/>
          </cell>
          <cell r="AR2157" t="str">
            <v/>
          </cell>
          <cell r="AS2157" t="str">
            <v>4620101007</v>
          </cell>
          <cell r="AT2157" t="str">
            <v/>
          </cell>
          <cell r="AU2157" t="str">
            <v>01</v>
          </cell>
          <cell r="AV2157" t="str">
            <v>01</v>
          </cell>
          <cell r="AW2157">
            <v>0</v>
          </cell>
          <cell r="AX2157">
            <v>0</v>
          </cell>
          <cell r="AY2157">
            <v>0</v>
          </cell>
          <cell r="AZ2157">
            <v>0</v>
          </cell>
          <cell r="BA2157">
            <v>0</v>
          </cell>
          <cell r="BD2157" t="str">
            <v/>
          </cell>
          <cell r="BE2157">
            <v>1</v>
          </cell>
          <cell r="BG2157" t="str">
            <v>0010</v>
          </cell>
        </row>
        <row r="2158">
          <cell r="B2158" t="str">
            <v>G462030106100100</v>
          </cell>
          <cell r="C2158" t="str">
            <v>46.鹿児島県</v>
          </cell>
          <cell r="D2158" t="str">
            <v>203</v>
          </cell>
          <cell r="E2158" t="str">
            <v>鹿屋市</v>
          </cell>
          <cell r="F2158" t="str">
            <v>01</v>
          </cell>
          <cell r="G2158" t="str">
            <v>公共 単独</v>
          </cell>
          <cell r="H2158" t="str">
            <v>公共下水道</v>
          </cell>
          <cell r="I2158" t="str">
            <v>単独</v>
          </cell>
          <cell r="J2158" t="str">
            <v>001</v>
          </cell>
          <cell r="K2158" t="str">
            <v>鹿屋市下水処理センター</v>
          </cell>
          <cell r="M2158" t="str">
            <v>1</v>
          </cell>
          <cell r="N2158" t="str">
            <v>1</v>
          </cell>
          <cell r="Q2158">
            <v>32568</v>
          </cell>
          <cell r="R2158" t="str">
            <v>平成</v>
          </cell>
          <cell r="S2158">
            <v>1</v>
          </cell>
          <cell r="T2158">
            <v>3</v>
          </cell>
          <cell r="AB2158">
            <v>42000</v>
          </cell>
          <cell r="AC2158" t="str">
            <v>肝属川</v>
          </cell>
          <cell r="AD2158" t="str">
            <v>Ｂ</v>
          </cell>
          <cell r="AE2158" t="str">
            <v>ハ</v>
          </cell>
          <cell r="AF2158">
            <v>10</v>
          </cell>
          <cell r="AG2158">
            <v>20</v>
          </cell>
          <cell r="AH2158">
            <v>3</v>
          </cell>
          <cell r="AK2158" t="str">
            <v>肝属川</v>
          </cell>
          <cell r="AQ2158" t="str">
            <v/>
          </cell>
          <cell r="AR2158" t="str">
            <v>標準活性汚泥法</v>
          </cell>
          <cell r="AS2158" t="str">
            <v>4620301001</v>
          </cell>
          <cell r="AT2158" t="str">
            <v/>
          </cell>
          <cell r="AU2158" t="str">
            <v>10</v>
          </cell>
          <cell r="AV2158" t="str">
            <v>10</v>
          </cell>
          <cell r="AW2158">
            <v>0</v>
          </cell>
          <cell r="AX2158">
            <v>0</v>
          </cell>
          <cell r="AY2158">
            <v>0</v>
          </cell>
          <cell r="AZ2158">
            <v>0</v>
          </cell>
          <cell r="BA2158">
            <v>0</v>
          </cell>
          <cell r="BD2158" t="str">
            <v/>
          </cell>
          <cell r="BE2158">
            <v>1</v>
          </cell>
          <cell r="BG2158" t="str">
            <v>1100</v>
          </cell>
        </row>
        <row r="2159">
          <cell r="B2159" t="str">
            <v>G462040106100100</v>
          </cell>
          <cell r="C2159" t="str">
            <v>46.鹿児島県</v>
          </cell>
          <cell r="D2159" t="str">
            <v>204</v>
          </cell>
          <cell r="E2159" t="str">
            <v>枕崎市</v>
          </cell>
          <cell r="F2159" t="str">
            <v>01</v>
          </cell>
          <cell r="G2159" t="str">
            <v>公共 単独</v>
          </cell>
          <cell r="H2159" t="str">
            <v>公共下水道</v>
          </cell>
          <cell r="I2159" t="str">
            <v>単独</v>
          </cell>
          <cell r="J2159" t="str">
            <v>001</v>
          </cell>
          <cell r="K2159" t="str">
            <v>枕崎終末処理場</v>
          </cell>
          <cell r="M2159" t="str">
            <v>1</v>
          </cell>
          <cell r="N2159" t="str">
            <v>1</v>
          </cell>
          <cell r="Q2159">
            <v>30742</v>
          </cell>
          <cell r="R2159" t="str">
            <v>昭和</v>
          </cell>
          <cell r="S2159">
            <v>59</v>
          </cell>
          <cell r="T2159">
            <v>3</v>
          </cell>
          <cell r="AB2159">
            <v>20886</v>
          </cell>
          <cell r="AC2159" t="str">
            <v>花渡川</v>
          </cell>
          <cell r="AD2159" t="str">
            <v>Ａ</v>
          </cell>
          <cell r="AE2159" t="str">
            <v>イ</v>
          </cell>
          <cell r="AF2159">
            <v>11</v>
          </cell>
          <cell r="AJ2159" t="str">
            <v>花渡川</v>
          </cell>
          <cell r="AL2159" t="str">
            <v>金山</v>
          </cell>
          <cell r="AM2159">
            <v>6</v>
          </cell>
          <cell r="AO2159" t="str">
            <v>枕崎市</v>
          </cell>
          <cell r="AQ2159" t="str">
            <v/>
          </cell>
          <cell r="AR2159" t="str">
            <v>標準活性汚泥法</v>
          </cell>
          <cell r="AS2159" t="str">
            <v>4620401001</v>
          </cell>
          <cell r="AT2159" t="str">
            <v/>
          </cell>
          <cell r="AU2159" t="str">
            <v>10</v>
          </cell>
          <cell r="AV2159" t="str">
            <v>10</v>
          </cell>
          <cell r="AW2159">
            <v>0</v>
          </cell>
          <cell r="AX2159">
            <v>0</v>
          </cell>
          <cell r="AY2159">
            <v>0</v>
          </cell>
          <cell r="AZ2159">
            <v>0</v>
          </cell>
          <cell r="BA2159">
            <v>0</v>
          </cell>
          <cell r="BD2159" t="str">
            <v/>
          </cell>
          <cell r="BE2159">
            <v>1</v>
          </cell>
          <cell r="BG2159" t="str">
            <v>1100</v>
          </cell>
        </row>
        <row r="2160">
          <cell r="B2160" t="str">
            <v>G462080106100100</v>
          </cell>
          <cell r="C2160" t="str">
            <v>46.鹿児島県</v>
          </cell>
          <cell r="D2160" t="str">
            <v>208</v>
          </cell>
          <cell r="E2160" t="str">
            <v>出水市</v>
          </cell>
          <cell r="F2160" t="str">
            <v>01</v>
          </cell>
          <cell r="G2160" t="str">
            <v>公共 単独</v>
          </cell>
          <cell r="H2160" t="str">
            <v>公共下水道</v>
          </cell>
          <cell r="I2160" t="str">
            <v>単独</v>
          </cell>
          <cell r="J2160" t="str">
            <v>001</v>
          </cell>
          <cell r="K2160" t="str">
            <v>出水浄化センター</v>
          </cell>
          <cell r="M2160" t="str">
            <v>1</v>
          </cell>
          <cell r="N2160" t="str">
            <v>1</v>
          </cell>
          <cell r="Q2160">
            <v>31837</v>
          </cell>
          <cell r="R2160" t="str">
            <v>昭和</v>
          </cell>
          <cell r="S2160">
            <v>62</v>
          </cell>
          <cell r="T2160">
            <v>3</v>
          </cell>
          <cell r="AB2160">
            <v>30900</v>
          </cell>
          <cell r="AC2160" t="str">
            <v>八代海</v>
          </cell>
          <cell r="AD2160" t="str">
            <v>Ａ</v>
          </cell>
          <cell r="AE2160" t="str">
            <v>ハ</v>
          </cell>
          <cell r="AF2160">
            <v>15</v>
          </cell>
          <cell r="AI2160" t="str">
            <v>八代海</v>
          </cell>
          <cell r="AQ2160" t="str">
            <v/>
          </cell>
          <cell r="AR2160" t="str">
            <v>標準活性汚泥法</v>
          </cell>
          <cell r="AS2160" t="str">
            <v>4620801001</v>
          </cell>
          <cell r="AT2160" t="str">
            <v/>
          </cell>
          <cell r="AU2160" t="str">
            <v>10</v>
          </cell>
          <cell r="AV2160" t="str">
            <v>10</v>
          </cell>
          <cell r="AW2160">
            <v>0</v>
          </cell>
          <cell r="AX2160">
            <v>0</v>
          </cell>
          <cell r="AY2160">
            <v>0</v>
          </cell>
          <cell r="AZ2160">
            <v>0</v>
          </cell>
          <cell r="BA2160">
            <v>0</v>
          </cell>
          <cell r="BD2160" t="str">
            <v/>
          </cell>
          <cell r="BE2160">
            <v>1</v>
          </cell>
          <cell r="BG2160" t="str">
            <v>1100</v>
          </cell>
        </row>
        <row r="2161">
          <cell r="B2161" t="str">
            <v>G462080206100200</v>
          </cell>
          <cell r="C2161" t="str">
            <v>46.鹿児島県</v>
          </cell>
          <cell r="D2161" t="str">
            <v>208</v>
          </cell>
          <cell r="E2161" t="str">
            <v>出水市</v>
          </cell>
          <cell r="F2161" t="str">
            <v>02</v>
          </cell>
          <cell r="G2161" t="str">
            <v>特環 単独</v>
          </cell>
          <cell r="H2161" t="str">
            <v>特定環境保全公共下水道</v>
          </cell>
          <cell r="I2161" t="str">
            <v>単独</v>
          </cell>
          <cell r="J2161" t="str">
            <v>002</v>
          </cell>
          <cell r="K2161" t="str">
            <v>高尾野浄化センター</v>
          </cell>
          <cell r="M2161" t="str">
            <v>1</v>
          </cell>
          <cell r="N2161" t="str">
            <v>1</v>
          </cell>
          <cell r="Q2161">
            <v>36586</v>
          </cell>
          <cell r="R2161" t="str">
            <v>平成</v>
          </cell>
          <cell r="S2161">
            <v>12</v>
          </cell>
          <cell r="T2161">
            <v>3</v>
          </cell>
          <cell r="AB2161">
            <v>16970</v>
          </cell>
          <cell r="AC2161" t="str">
            <v>高尾野川</v>
          </cell>
          <cell r="AD2161" t="str">
            <v>Ａ</v>
          </cell>
          <cell r="AE2161" t="str">
            <v>イ</v>
          </cell>
          <cell r="AJ2161" t="str">
            <v>高尾野川</v>
          </cell>
          <cell r="AL2161" t="str">
            <v>長尾</v>
          </cell>
          <cell r="AM2161">
            <v>15</v>
          </cell>
          <cell r="AO2161" t="str">
            <v>出水市</v>
          </cell>
          <cell r="AQ2161" t="str">
            <v/>
          </cell>
          <cell r="AR2161" t="str">
            <v>オキシディションディッチ法</v>
          </cell>
          <cell r="AS2161" t="str">
            <v>4620802002</v>
          </cell>
          <cell r="AT2161" t="str">
            <v/>
          </cell>
          <cell r="AU2161" t="str">
            <v>10</v>
          </cell>
          <cell r="AV2161" t="str">
            <v>10</v>
          </cell>
          <cell r="AW2161">
            <v>0</v>
          </cell>
          <cell r="AX2161">
            <v>0</v>
          </cell>
          <cell r="AY2161">
            <v>0</v>
          </cell>
          <cell r="AZ2161">
            <v>0</v>
          </cell>
          <cell r="BA2161">
            <v>0</v>
          </cell>
          <cell r="BD2161" t="str">
            <v/>
          </cell>
          <cell r="BE2161">
            <v>1</v>
          </cell>
          <cell r="BG2161" t="str">
            <v>1100</v>
          </cell>
        </row>
        <row r="2162">
          <cell r="B2162" t="str">
            <v>G462100106100100</v>
          </cell>
          <cell r="C2162" t="str">
            <v>46.鹿児島県</v>
          </cell>
          <cell r="D2162" t="str">
            <v>210</v>
          </cell>
          <cell r="E2162" t="str">
            <v>指宿市</v>
          </cell>
          <cell r="F2162" t="str">
            <v>01</v>
          </cell>
          <cell r="G2162" t="str">
            <v>公共 単独</v>
          </cell>
          <cell r="H2162" t="str">
            <v>公共下水道</v>
          </cell>
          <cell r="I2162" t="str">
            <v>単独</v>
          </cell>
          <cell r="J2162" t="str">
            <v>001</v>
          </cell>
          <cell r="K2162" t="str">
            <v>指宿市浄水苑</v>
          </cell>
          <cell r="M2162" t="str">
            <v>1</v>
          </cell>
          <cell r="N2162" t="str">
            <v>1</v>
          </cell>
          <cell r="Q2162">
            <v>31472</v>
          </cell>
          <cell r="R2162" t="str">
            <v>昭和</v>
          </cell>
          <cell r="S2162">
            <v>61</v>
          </cell>
          <cell r="T2162">
            <v>3</v>
          </cell>
          <cell r="AB2162">
            <v>42000</v>
          </cell>
          <cell r="AC2162" t="str">
            <v>鹿児島湾水域</v>
          </cell>
          <cell r="AD2162" t="str">
            <v>Ａ</v>
          </cell>
          <cell r="AE2162" t="str">
            <v>イ</v>
          </cell>
          <cell r="AI2162" t="str">
            <v>五間川</v>
          </cell>
          <cell r="AJ2162" t="str">
            <v>二反田川</v>
          </cell>
          <cell r="AQ2162" t="str">
            <v/>
          </cell>
          <cell r="AR2162" t="str">
            <v>標準活性汚泥法</v>
          </cell>
          <cell r="AS2162" t="str">
            <v>4621001001</v>
          </cell>
          <cell r="AT2162" t="str">
            <v/>
          </cell>
          <cell r="AU2162" t="str">
            <v>10</v>
          </cell>
          <cell r="AV2162" t="str">
            <v>10</v>
          </cell>
          <cell r="AW2162">
            <v>0</v>
          </cell>
          <cell r="AX2162">
            <v>0</v>
          </cell>
          <cell r="AY2162">
            <v>0</v>
          </cell>
          <cell r="AZ2162">
            <v>0</v>
          </cell>
          <cell r="BA2162">
            <v>0</v>
          </cell>
          <cell r="BD2162" t="str">
            <v/>
          </cell>
          <cell r="BE2162">
            <v>1</v>
          </cell>
          <cell r="BG2162" t="str">
            <v>1100</v>
          </cell>
        </row>
        <row r="2163">
          <cell r="B2163" t="str">
            <v>G462150106100100</v>
          </cell>
          <cell r="C2163" t="str">
            <v>46.鹿児島県</v>
          </cell>
          <cell r="D2163" t="str">
            <v>215</v>
          </cell>
          <cell r="E2163" t="str">
            <v>薩摩川内市</v>
          </cell>
          <cell r="F2163" t="str">
            <v>01</v>
          </cell>
          <cell r="G2163" t="str">
            <v>公共 単独</v>
          </cell>
          <cell r="H2163" t="str">
            <v>公共下水道</v>
          </cell>
          <cell r="I2163" t="str">
            <v>単独</v>
          </cell>
          <cell r="J2163" t="str">
            <v>001</v>
          </cell>
          <cell r="K2163" t="str">
            <v>宮里浄化センター</v>
          </cell>
          <cell r="M2163" t="str">
            <v>1</v>
          </cell>
          <cell r="N2163" t="str">
            <v>1</v>
          </cell>
          <cell r="Q2163">
            <v>38047</v>
          </cell>
          <cell r="R2163" t="str">
            <v>平成</v>
          </cell>
          <cell r="S2163">
            <v>16</v>
          </cell>
          <cell r="T2163">
            <v>3</v>
          </cell>
          <cell r="AB2163">
            <v>33756</v>
          </cell>
          <cell r="AC2163" t="str">
            <v>川内川</v>
          </cell>
          <cell r="AD2163" t="str">
            <v>Ｂ</v>
          </cell>
          <cell r="AE2163" t="str">
            <v>ロ</v>
          </cell>
          <cell r="AF2163">
            <v>15</v>
          </cell>
          <cell r="AK2163" t="str">
            <v>川内川</v>
          </cell>
          <cell r="AL2163" t="str">
            <v>丸山取水口</v>
          </cell>
          <cell r="AM2163">
            <v>7.5</v>
          </cell>
          <cell r="AO2163" t="str">
            <v>薩摩川内市</v>
          </cell>
          <cell r="AQ2163" t="str">
            <v/>
          </cell>
          <cell r="AR2163" t="str">
            <v>標準活性汚泥法</v>
          </cell>
          <cell r="AS2163" t="str">
            <v>4621501001</v>
          </cell>
          <cell r="AT2163" t="str">
            <v/>
          </cell>
          <cell r="AU2163" t="str">
            <v>10</v>
          </cell>
          <cell r="AV2163" t="str">
            <v>10</v>
          </cell>
          <cell r="AW2163">
            <v>0</v>
          </cell>
          <cell r="AX2163">
            <v>0</v>
          </cell>
          <cell r="AY2163">
            <v>0</v>
          </cell>
          <cell r="AZ2163">
            <v>0</v>
          </cell>
          <cell r="BA2163">
            <v>0</v>
          </cell>
          <cell r="BD2163" t="str">
            <v/>
          </cell>
          <cell r="BE2163">
            <v>1</v>
          </cell>
          <cell r="BG2163" t="str">
            <v>1100</v>
          </cell>
        </row>
        <row r="2164">
          <cell r="B2164" t="str">
            <v>G462150206100200</v>
          </cell>
          <cell r="C2164" t="str">
            <v>46.鹿児島県</v>
          </cell>
          <cell r="D2164" t="str">
            <v>215</v>
          </cell>
          <cell r="E2164" t="str">
            <v>薩摩川内市</v>
          </cell>
          <cell r="F2164" t="str">
            <v>02</v>
          </cell>
          <cell r="G2164" t="str">
            <v>特環 単独</v>
          </cell>
          <cell r="H2164" t="str">
            <v>特定環境保全公共下水道</v>
          </cell>
          <cell r="I2164" t="str">
            <v>単独</v>
          </cell>
          <cell r="J2164" t="str">
            <v>002</v>
          </cell>
          <cell r="K2164" t="str">
            <v>中甑・中野浄化センター</v>
          </cell>
          <cell r="M2164" t="str">
            <v>1</v>
          </cell>
          <cell r="N2164" t="str">
            <v>1</v>
          </cell>
          <cell r="Q2164">
            <v>36951</v>
          </cell>
          <cell r="R2164" t="str">
            <v>平成</v>
          </cell>
          <cell r="S2164">
            <v>13</v>
          </cell>
          <cell r="T2164">
            <v>3</v>
          </cell>
          <cell r="AB2164">
            <v>3342</v>
          </cell>
          <cell r="AF2164">
            <v>15</v>
          </cell>
          <cell r="AG2164">
            <v>10</v>
          </cell>
          <cell r="AH2164">
            <v>2</v>
          </cell>
          <cell r="AJ2164" t="str">
            <v>中津川</v>
          </cell>
          <cell r="AL2164" t="str">
            <v>中甑第１水源</v>
          </cell>
          <cell r="AM2164">
            <v>1</v>
          </cell>
          <cell r="AO2164" t="str">
            <v>薩摩川内市</v>
          </cell>
          <cell r="AQ2164" t="str">
            <v/>
          </cell>
          <cell r="AR2164" t="str">
            <v>オキシディションディッチ法</v>
          </cell>
          <cell r="AS2164" t="str">
            <v>4621502002</v>
          </cell>
          <cell r="AT2164" t="str">
            <v/>
          </cell>
          <cell r="AU2164" t="str">
            <v>10</v>
          </cell>
          <cell r="AV2164" t="str">
            <v>10</v>
          </cell>
          <cell r="AW2164">
            <v>0</v>
          </cell>
          <cell r="AX2164">
            <v>0</v>
          </cell>
          <cell r="AY2164">
            <v>0</v>
          </cell>
          <cell r="AZ2164">
            <v>0</v>
          </cell>
          <cell r="BA2164">
            <v>0</v>
          </cell>
          <cell r="BD2164" t="str">
            <v/>
          </cell>
          <cell r="BE2164">
            <v>1</v>
          </cell>
          <cell r="BG2164" t="str">
            <v>1100</v>
          </cell>
        </row>
        <row r="2165">
          <cell r="B2165" t="str">
            <v>G462160106100100</v>
          </cell>
          <cell r="C2165" t="str">
            <v>46.鹿児島県</v>
          </cell>
          <cell r="D2165" t="str">
            <v>216</v>
          </cell>
          <cell r="E2165" t="str">
            <v>日置市</v>
          </cell>
          <cell r="F2165" t="str">
            <v>01</v>
          </cell>
          <cell r="G2165" t="str">
            <v>公共 単独</v>
          </cell>
          <cell r="H2165" t="str">
            <v>公共下水道</v>
          </cell>
          <cell r="I2165" t="str">
            <v>単独</v>
          </cell>
          <cell r="J2165" t="str">
            <v>001</v>
          </cell>
          <cell r="K2165" t="str">
            <v>伊集院終末処理場</v>
          </cell>
          <cell r="M2165" t="str">
            <v>1</v>
          </cell>
          <cell r="N2165" t="str">
            <v>1</v>
          </cell>
          <cell r="Q2165">
            <v>32203</v>
          </cell>
          <cell r="R2165" t="str">
            <v>昭和</v>
          </cell>
          <cell r="S2165">
            <v>63</v>
          </cell>
          <cell r="T2165">
            <v>3</v>
          </cell>
          <cell r="AB2165">
            <v>30210</v>
          </cell>
          <cell r="AC2165" t="str">
            <v>神之川</v>
          </cell>
          <cell r="AD2165" t="str">
            <v>Ａ</v>
          </cell>
          <cell r="AE2165" t="str">
            <v>イ</v>
          </cell>
          <cell r="AF2165">
            <v>15</v>
          </cell>
          <cell r="AJ2165" t="str">
            <v>神之川</v>
          </cell>
          <cell r="AQ2165" t="str">
            <v/>
          </cell>
          <cell r="AR2165" t="str">
            <v>標準活性汚泥法</v>
          </cell>
          <cell r="AS2165" t="str">
            <v>4621601001</v>
          </cell>
          <cell r="AT2165" t="str">
            <v/>
          </cell>
          <cell r="AU2165" t="str">
            <v>10</v>
          </cell>
          <cell r="AV2165" t="str">
            <v>10</v>
          </cell>
          <cell r="AW2165">
            <v>0</v>
          </cell>
          <cell r="AX2165">
            <v>0</v>
          </cell>
          <cell r="AY2165">
            <v>0</v>
          </cell>
          <cell r="AZ2165">
            <v>0</v>
          </cell>
          <cell r="BA2165">
            <v>0</v>
          </cell>
          <cell r="BD2165" t="str">
            <v/>
          </cell>
          <cell r="BE2165">
            <v>1</v>
          </cell>
          <cell r="BG2165" t="str">
            <v>1100</v>
          </cell>
        </row>
        <row r="2166">
          <cell r="B2166" t="str">
            <v>G462170106100100</v>
          </cell>
          <cell r="C2166" t="str">
            <v>46.鹿児島県</v>
          </cell>
          <cell r="D2166" t="str">
            <v>217</v>
          </cell>
          <cell r="E2166" t="str">
            <v>曽於市</v>
          </cell>
          <cell r="F2166" t="str">
            <v>01</v>
          </cell>
          <cell r="G2166" t="str">
            <v>公共 単独</v>
          </cell>
          <cell r="H2166" t="str">
            <v>公共下水道</v>
          </cell>
          <cell r="I2166" t="str">
            <v>単独</v>
          </cell>
          <cell r="J2166" t="str">
            <v>001</v>
          </cell>
          <cell r="K2166" t="str">
            <v>曽於市下水道浄化センター</v>
          </cell>
          <cell r="M2166" t="str">
            <v>1</v>
          </cell>
          <cell r="Q2166">
            <v>38077</v>
          </cell>
          <cell r="R2166" t="str">
            <v>平成</v>
          </cell>
          <cell r="S2166">
            <v>16</v>
          </cell>
          <cell r="T2166">
            <v>3</v>
          </cell>
          <cell r="U2166" t="str">
            <v>名称変更</v>
          </cell>
          <cell r="V2166">
            <v>38534</v>
          </cell>
          <cell r="W2166" t="str">
            <v>平成</v>
          </cell>
          <cell r="X2166">
            <v>17</v>
          </cell>
          <cell r="Y2166">
            <v>7</v>
          </cell>
          <cell r="Z2166" t="str">
            <v>末吉町下水道浄化センター</v>
          </cell>
          <cell r="AA2166" t="str">
            <v>末吉町公共下水道事業</v>
          </cell>
          <cell r="AB2166">
            <v>13712</v>
          </cell>
          <cell r="AC2166" t="str">
            <v>大淀川</v>
          </cell>
          <cell r="AD2166" t="str">
            <v>Ａ</v>
          </cell>
          <cell r="AE2166" t="str">
            <v>ロ</v>
          </cell>
          <cell r="AF2166">
            <v>15</v>
          </cell>
          <cell r="AK2166" t="str">
            <v>大淀川</v>
          </cell>
          <cell r="AL2166" t="str">
            <v>冨吉</v>
          </cell>
          <cell r="AN2166">
            <v>70</v>
          </cell>
          <cell r="AO2166" t="str">
            <v>宮崎市</v>
          </cell>
          <cell r="AQ2166" t="str">
            <v/>
          </cell>
          <cell r="AR2166" t="str">
            <v>嫌気好気ろ床法</v>
          </cell>
          <cell r="AS2166" t="str">
            <v>4621701001</v>
          </cell>
          <cell r="AT2166">
            <v>1</v>
          </cell>
          <cell r="AU2166" t="str">
            <v>00</v>
          </cell>
          <cell r="AV2166" t="str">
            <v>00</v>
          </cell>
          <cell r="AW2166">
            <v>0</v>
          </cell>
          <cell r="AX2166">
            <v>0</v>
          </cell>
          <cell r="AY2166">
            <v>0</v>
          </cell>
          <cell r="AZ2166">
            <v>0</v>
          </cell>
          <cell r="BA2166">
            <v>0</v>
          </cell>
          <cell r="BD2166" t="str">
            <v/>
          </cell>
          <cell r="BE2166">
            <v>1</v>
          </cell>
          <cell r="BG2166" t="str">
            <v>1000</v>
          </cell>
        </row>
        <row r="2167">
          <cell r="B2167" t="str">
            <v>G462180106100100</v>
          </cell>
          <cell r="C2167" t="str">
            <v>46.鹿児島県</v>
          </cell>
          <cell r="D2167" t="str">
            <v>218</v>
          </cell>
          <cell r="E2167" t="str">
            <v>霧島市</v>
          </cell>
          <cell r="F2167" t="str">
            <v>01</v>
          </cell>
          <cell r="G2167" t="str">
            <v>公共 単独</v>
          </cell>
          <cell r="H2167" t="str">
            <v>公共下水道</v>
          </cell>
          <cell r="I2167" t="str">
            <v>単独</v>
          </cell>
          <cell r="J2167" t="str">
            <v>001</v>
          </cell>
          <cell r="K2167" t="str">
            <v>国分隼人クリーンセンター</v>
          </cell>
          <cell r="M2167" t="str">
            <v>1</v>
          </cell>
          <cell r="N2167" t="str">
            <v>1</v>
          </cell>
          <cell r="Q2167">
            <v>35125</v>
          </cell>
          <cell r="R2167" t="str">
            <v>平成</v>
          </cell>
          <cell r="S2167">
            <v>8</v>
          </cell>
          <cell r="T2167">
            <v>3</v>
          </cell>
          <cell r="AB2167">
            <v>44591</v>
          </cell>
          <cell r="AC2167" t="str">
            <v>鹿児島湾</v>
          </cell>
          <cell r="AD2167" t="str">
            <v>Ａ</v>
          </cell>
          <cell r="AE2167" t="str">
            <v>イ</v>
          </cell>
          <cell r="AF2167">
            <v>15</v>
          </cell>
          <cell r="AI2167" t="str">
            <v>鹿児島湾</v>
          </cell>
          <cell r="AQ2167" t="str">
            <v/>
          </cell>
          <cell r="AR2167" t="str">
            <v>標準活性汚泥法</v>
          </cell>
          <cell r="AS2167" t="str">
            <v>4621801001</v>
          </cell>
          <cell r="AT2167" t="str">
            <v/>
          </cell>
          <cell r="AU2167" t="str">
            <v>10</v>
          </cell>
          <cell r="AV2167" t="str">
            <v>10</v>
          </cell>
          <cell r="AW2167">
            <v>0</v>
          </cell>
          <cell r="AX2167">
            <v>0</v>
          </cell>
          <cell r="AY2167">
            <v>0</v>
          </cell>
          <cell r="AZ2167">
            <v>0</v>
          </cell>
          <cell r="BA2167">
            <v>0</v>
          </cell>
          <cell r="BD2167" t="str">
            <v/>
          </cell>
          <cell r="BE2167">
            <v>1</v>
          </cell>
          <cell r="BG2167" t="str">
            <v>1100</v>
          </cell>
        </row>
        <row r="2168">
          <cell r="B2168" t="str">
            <v>G462180206100200</v>
          </cell>
          <cell r="C2168" t="str">
            <v>46.鹿児島県</v>
          </cell>
          <cell r="D2168" t="str">
            <v>218</v>
          </cell>
          <cell r="E2168" t="str">
            <v>霧島市</v>
          </cell>
          <cell r="F2168" t="str">
            <v>02</v>
          </cell>
          <cell r="G2168" t="str">
            <v>特環 単独</v>
          </cell>
          <cell r="H2168" t="str">
            <v>特定環境保全公共下水道</v>
          </cell>
          <cell r="I2168" t="str">
            <v>単独</v>
          </cell>
          <cell r="J2168" t="str">
            <v>002</v>
          </cell>
          <cell r="K2168" t="str">
            <v>牧場クリーンセンター</v>
          </cell>
          <cell r="M2168" t="str">
            <v>1</v>
          </cell>
          <cell r="N2168" t="str">
            <v>1</v>
          </cell>
          <cell r="Q2168">
            <v>35885</v>
          </cell>
          <cell r="R2168" t="str">
            <v>平成</v>
          </cell>
          <cell r="S2168">
            <v>10</v>
          </cell>
          <cell r="T2168">
            <v>3</v>
          </cell>
          <cell r="AB2168">
            <v>7800</v>
          </cell>
          <cell r="AC2168" t="str">
            <v>中津川</v>
          </cell>
          <cell r="AD2168" t="str">
            <v>Ａ</v>
          </cell>
          <cell r="AE2168" t="str">
            <v>イ</v>
          </cell>
          <cell r="AF2168">
            <v>15</v>
          </cell>
          <cell r="AI2168" t="str">
            <v>谷門川</v>
          </cell>
          <cell r="AJ2168" t="str">
            <v>天降川</v>
          </cell>
          <cell r="AQ2168" t="str">
            <v/>
          </cell>
          <cell r="AR2168" t="str">
            <v>オキシディションディッチ法</v>
          </cell>
          <cell r="AS2168" t="str">
            <v>4621802002</v>
          </cell>
          <cell r="AT2168" t="str">
            <v/>
          </cell>
          <cell r="AU2168" t="str">
            <v>10</v>
          </cell>
          <cell r="AV2168" t="str">
            <v>10</v>
          </cell>
          <cell r="AW2168">
            <v>0</v>
          </cell>
          <cell r="AX2168">
            <v>0</v>
          </cell>
          <cell r="AY2168">
            <v>0</v>
          </cell>
          <cell r="AZ2168">
            <v>0</v>
          </cell>
          <cell r="BA2168">
            <v>0</v>
          </cell>
          <cell r="BD2168" t="str">
            <v/>
          </cell>
          <cell r="BE2168">
            <v>1</v>
          </cell>
          <cell r="BG2168" t="str">
            <v>1100</v>
          </cell>
        </row>
        <row r="2169">
          <cell r="B2169" t="str">
            <v>G462190106100100</v>
          </cell>
          <cell r="C2169" t="str">
            <v>46.鹿児島県</v>
          </cell>
          <cell r="D2169" t="str">
            <v>219</v>
          </cell>
          <cell r="E2169" t="str">
            <v>いちき串木野市</v>
          </cell>
          <cell r="F2169" t="str">
            <v>01</v>
          </cell>
          <cell r="G2169" t="str">
            <v>公共 単独</v>
          </cell>
          <cell r="H2169" t="str">
            <v>公共下水道</v>
          </cell>
          <cell r="I2169" t="str">
            <v>単独</v>
          </cell>
          <cell r="J2169" t="str">
            <v>001</v>
          </cell>
          <cell r="K2169" t="str">
            <v>串木野クリーンセンター</v>
          </cell>
          <cell r="M2169" t="str">
            <v>1</v>
          </cell>
          <cell r="N2169" t="str">
            <v>1</v>
          </cell>
          <cell r="Q2169">
            <v>34029</v>
          </cell>
          <cell r="R2169" t="str">
            <v>平成</v>
          </cell>
          <cell r="S2169">
            <v>5</v>
          </cell>
          <cell r="T2169">
            <v>3</v>
          </cell>
          <cell r="AB2169">
            <v>44983</v>
          </cell>
          <cell r="AC2169" t="str">
            <v>薩摩半島西部海域(5)</v>
          </cell>
          <cell r="AD2169" t="str">
            <v>Ｂ</v>
          </cell>
          <cell r="AE2169" t="str">
            <v>イ</v>
          </cell>
          <cell r="AF2169">
            <v>15</v>
          </cell>
          <cell r="AI2169" t="str">
            <v>東シナ海</v>
          </cell>
          <cell r="AL2169" t="str">
            <v>山之神浄水場</v>
          </cell>
          <cell r="AM2169">
            <v>3</v>
          </cell>
          <cell r="AO2169" t="str">
            <v>いちき串木野市</v>
          </cell>
          <cell r="AQ2169" t="str">
            <v/>
          </cell>
          <cell r="AR2169" t="str">
            <v>オキシディションディッチ法</v>
          </cell>
          <cell r="AS2169" t="str">
            <v>4621901001</v>
          </cell>
          <cell r="AT2169" t="str">
            <v/>
          </cell>
          <cell r="AU2169" t="str">
            <v>10</v>
          </cell>
          <cell r="AV2169" t="str">
            <v>10</v>
          </cell>
          <cell r="AW2169">
            <v>0</v>
          </cell>
          <cell r="AX2169">
            <v>0</v>
          </cell>
          <cell r="AY2169">
            <v>0</v>
          </cell>
          <cell r="AZ2169">
            <v>0</v>
          </cell>
          <cell r="BA2169">
            <v>0</v>
          </cell>
          <cell r="BD2169" t="str">
            <v/>
          </cell>
          <cell r="BE2169">
            <v>1</v>
          </cell>
          <cell r="BG2169" t="str">
            <v>1100</v>
          </cell>
        </row>
        <row r="2170">
          <cell r="B2170" t="str">
            <v>G462220106100100</v>
          </cell>
          <cell r="C2170" t="str">
            <v>46.鹿児島県</v>
          </cell>
          <cell r="D2170" t="str">
            <v>222</v>
          </cell>
          <cell r="E2170" t="str">
            <v>奄美市</v>
          </cell>
          <cell r="F2170" t="str">
            <v>01</v>
          </cell>
          <cell r="G2170" t="str">
            <v>公共 単独</v>
          </cell>
          <cell r="H2170" t="str">
            <v>公共下水道</v>
          </cell>
          <cell r="I2170" t="str">
            <v>単独</v>
          </cell>
          <cell r="J2170" t="str">
            <v>001</v>
          </cell>
          <cell r="K2170" t="str">
            <v>奄美市名瀬終末処理場</v>
          </cell>
          <cell r="M2170" t="str">
            <v>1</v>
          </cell>
          <cell r="N2170" t="str">
            <v>1</v>
          </cell>
          <cell r="Q2170">
            <v>30742</v>
          </cell>
          <cell r="R2170" t="str">
            <v>昭和</v>
          </cell>
          <cell r="S2170">
            <v>59</v>
          </cell>
          <cell r="T2170">
            <v>3</v>
          </cell>
          <cell r="AB2170">
            <v>75300</v>
          </cell>
          <cell r="AC2170" t="str">
            <v>名瀬港海域</v>
          </cell>
          <cell r="AD2170" t="str">
            <v>Ａ</v>
          </cell>
          <cell r="AE2170" t="str">
            <v>イ</v>
          </cell>
          <cell r="AF2170">
            <v>15</v>
          </cell>
          <cell r="AI2170" t="str">
            <v>名瀬港海域</v>
          </cell>
          <cell r="AL2170" t="str">
            <v>大川ダム</v>
          </cell>
          <cell r="AM2170">
            <v>7</v>
          </cell>
          <cell r="AQ2170" t="str">
            <v/>
          </cell>
          <cell r="AR2170" t="str">
            <v>標準活性汚泥法</v>
          </cell>
          <cell r="AS2170" t="str">
            <v>4622201001</v>
          </cell>
          <cell r="AT2170" t="str">
            <v/>
          </cell>
          <cell r="AU2170" t="str">
            <v>10</v>
          </cell>
          <cell r="AV2170" t="str">
            <v>10</v>
          </cell>
          <cell r="AW2170">
            <v>0</v>
          </cell>
          <cell r="AX2170">
            <v>0</v>
          </cell>
          <cell r="AY2170">
            <v>0</v>
          </cell>
          <cell r="AZ2170">
            <v>0</v>
          </cell>
          <cell r="BA2170">
            <v>0</v>
          </cell>
          <cell r="BD2170" t="str">
            <v/>
          </cell>
          <cell r="BE2170">
            <v>1</v>
          </cell>
          <cell r="BG2170" t="str">
            <v>1100</v>
          </cell>
        </row>
        <row r="2171">
          <cell r="B2171" t="str">
            <v>G462220206100200</v>
          </cell>
          <cell r="C2171" t="str">
            <v>46.鹿児島県</v>
          </cell>
          <cell r="D2171" t="str">
            <v>222</v>
          </cell>
          <cell r="E2171" t="str">
            <v>奄美市</v>
          </cell>
          <cell r="F2171" t="str">
            <v>02</v>
          </cell>
          <cell r="G2171" t="str">
            <v>特環 単独</v>
          </cell>
          <cell r="H2171" t="str">
            <v>特定環境保全公共下水道</v>
          </cell>
          <cell r="I2171" t="str">
            <v>単独</v>
          </cell>
          <cell r="J2171" t="str">
            <v>002</v>
          </cell>
          <cell r="K2171" t="str">
            <v>大笠利浄化センター</v>
          </cell>
          <cell r="M2171" t="str">
            <v>1</v>
          </cell>
          <cell r="N2171" t="str">
            <v>1</v>
          </cell>
          <cell r="P2171" t="str">
            <v>1</v>
          </cell>
          <cell r="Q2171">
            <v>37316</v>
          </cell>
          <cell r="R2171" t="str">
            <v>平成</v>
          </cell>
          <cell r="S2171">
            <v>14</v>
          </cell>
          <cell r="T2171">
            <v>3</v>
          </cell>
          <cell r="AB2171">
            <v>3300</v>
          </cell>
          <cell r="AC2171" t="str">
            <v>奄美大島本島海域</v>
          </cell>
          <cell r="AD2171" t="str">
            <v>Ａ</v>
          </cell>
          <cell r="AE2171" t="str">
            <v>イ</v>
          </cell>
          <cell r="AI2171" t="str">
            <v>農業用施設排水路</v>
          </cell>
          <cell r="AQ2171" t="str">
            <v/>
          </cell>
          <cell r="AR2171" t="str">
            <v>好気性ろ床法</v>
          </cell>
          <cell r="AS2171" t="str">
            <v>4622202002</v>
          </cell>
          <cell r="AT2171" t="str">
            <v/>
          </cell>
          <cell r="AU2171" t="str">
            <v>10</v>
          </cell>
          <cell r="AV2171" t="str">
            <v>10</v>
          </cell>
          <cell r="AW2171">
            <v>1</v>
          </cell>
          <cell r="AX2171">
            <v>0</v>
          </cell>
          <cell r="AY2171">
            <v>0</v>
          </cell>
          <cell r="AZ2171">
            <v>0</v>
          </cell>
          <cell r="BA2171">
            <v>0</v>
          </cell>
          <cell r="BD2171" t="str">
            <v/>
          </cell>
          <cell r="BE2171">
            <v>1</v>
          </cell>
          <cell r="BG2171" t="str">
            <v>1101</v>
          </cell>
        </row>
        <row r="2172">
          <cell r="B2172" t="str">
            <v>G462230106100100</v>
          </cell>
          <cell r="C2172" t="str">
            <v>46.鹿児島県</v>
          </cell>
          <cell r="D2172" t="str">
            <v>223</v>
          </cell>
          <cell r="E2172" t="str">
            <v>南九州市</v>
          </cell>
          <cell r="F2172" t="str">
            <v>01</v>
          </cell>
          <cell r="G2172" t="str">
            <v>公共 単独</v>
          </cell>
          <cell r="H2172" t="str">
            <v>公共下水道</v>
          </cell>
          <cell r="I2172" t="str">
            <v>単独</v>
          </cell>
          <cell r="J2172" t="str">
            <v>001</v>
          </cell>
          <cell r="K2172" t="str">
            <v>知覧中央浄化センター</v>
          </cell>
          <cell r="M2172" t="str">
            <v>1</v>
          </cell>
          <cell r="N2172" t="str">
            <v>1</v>
          </cell>
          <cell r="Q2172">
            <v>36951</v>
          </cell>
          <cell r="R2172" t="str">
            <v>平成</v>
          </cell>
          <cell r="S2172">
            <v>13</v>
          </cell>
          <cell r="T2172">
            <v>3</v>
          </cell>
          <cell r="AB2172">
            <v>10019</v>
          </cell>
          <cell r="AC2172" t="str">
            <v>万之瀬川下流（広瀬橋から下流）</v>
          </cell>
          <cell r="AD2172" t="str">
            <v>Ｂ</v>
          </cell>
          <cell r="AE2172" t="str">
            <v>イ</v>
          </cell>
          <cell r="AF2172">
            <v>20</v>
          </cell>
          <cell r="AI2172" t="str">
            <v>万之瀬川</v>
          </cell>
          <cell r="AJ2172" t="str">
            <v>麓川</v>
          </cell>
          <cell r="AL2172" t="str">
            <v>加世田取水口</v>
          </cell>
          <cell r="AN2172">
            <v>12</v>
          </cell>
          <cell r="AO2172" t="str">
            <v>鹿児島市</v>
          </cell>
          <cell r="AQ2172" t="str">
            <v/>
          </cell>
          <cell r="AR2172" t="str">
            <v>土壌被覆型礫間接触法</v>
          </cell>
          <cell r="AS2172" t="str">
            <v>4622301001</v>
          </cell>
          <cell r="AT2172" t="str">
            <v/>
          </cell>
          <cell r="AU2172" t="str">
            <v>10</v>
          </cell>
          <cell r="AV2172" t="str">
            <v>10</v>
          </cell>
          <cell r="AW2172">
            <v>0</v>
          </cell>
          <cell r="AX2172">
            <v>0</v>
          </cell>
          <cell r="AY2172">
            <v>0</v>
          </cell>
          <cell r="AZ2172">
            <v>0</v>
          </cell>
          <cell r="BA2172">
            <v>0</v>
          </cell>
          <cell r="BD2172" t="str">
            <v/>
          </cell>
          <cell r="BE2172">
            <v>1</v>
          </cell>
          <cell r="BG2172" t="str">
            <v>1100</v>
          </cell>
        </row>
        <row r="2173">
          <cell r="B2173" t="str">
            <v>G464680106100100</v>
          </cell>
          <cell r="C2173" t="str">
            <v>46.鹿児島県</v>
          </cell>
          <cell r="D2173" t="str">
            <v>468</v>
          </cell>
          <cell r="E2173" t="str">
            <v>大崎町</v>
          </cell>
          <cell r="F2173" t="str">
            <v>01</v>
          </cell>
          <cell r="G2173" t="str">
            <v>公共 単独</v>
          </cell>
          <cell r="H2173" t="str">
            <v>公共下水道</v>
          </cell>
          <cell r="I2173" t="str">
            <v>単独</v>
          </cell>
          <cell r="J2173" t="str">
            <v>001</v>
          </cell>
          <cell r="K2173" t="str">
            <v>大崎クリーンセンター</v>
          </cell>
          <cell r="M2173" t="str">
            <v>1</v>
          </cell>
          <cell r="N2173" t="str">
            <v>1</v>
          </cell>
          <cell r="Q2173">
            <v>37681</v>
          </cell>
          <cell r="R2173" t="str">
            <v>平成</v>
          </cell>
          <cell r="S2173">
            <v>15</v>
          </cell>
          <cell r="T2173">
            <v>3</v>
          </cell>
          <cell r="AB2173">
            <v>18700</v>
          </cell>
          <cell r="AC2173" t="str">
            <v>田原川</v>
          </cell>
          <cell r="AD2173" t="str">
            <v>Ｃ</v>
          </cell>
          <cell r="AE2173" t="str">
            <v>ロ</v>
          </cell>
          <cell r="AF2173">
            <v>15</v>
          </cell>
          <cell r="AJ2173" t="str">
            <v>田原川</v>
          </cell>
          <cell r="AQ2173" t="str">
            <v/>
          </cell>
          <cell r="AR2173" t="str">
            <v>オキシディションディッチ法</v>
          </cell>
          <cell r="AS2173" t="str">
            <v>4646801001</v>
          </cell>
          <cell r="AT2173" t="str">
            <v/>
          </cell>
          <cell r="AU2173" t="str">
            <v>10</v>
          </cell>
          <cell r="AV2173" t="str">
            <v>10</v>
          </cell>
          <cell r="AW2173">
            <v>0</v>
          </cell>
          <cell r="AX2173">
            <v>0</v>
          </cell>
          <cell r="AY2173">
            <v>0</v>
          </cell>
          <cell r="AZ2173">
            <v>0</v>
          </cell>
          <cell r="BA2173">
            <v>0</v>
          </cell>
          <cell r="BD2173" t="str">
            <v/>
          </cell>
          <cell r="BE2173">
            <v>1</v>
          </cell>
          <cell r="BG2173" t="str">
            <v>1100</v>
          </cell>
        </row>
        <row r="2174">
          <cell r="B2174" t="str">
            <v>G465290106100100</v>
          </cell>
          <cell r="C2174" t="str">
            <v>46.鹿児島県</v>
          </cell>
          <cell r="D2174" t="str">
            <v>529</v>
          </cell>
          <cell r="E2174" t="str">
            <v>喜界町</v>
          </cell>
          <cell r="F2174" t="str">
            <v>01</v>
          </cell>
          <cell r="G2174" t="str">
            <v>公共 単独</v>
          </cell>
          <cell r="H2174" t="str">
            <v>公共下水道</v>
          </cell>
          <cell r="I2174" t="str">
            <v>単独</v>
          </cell>
          <cell r="J2174" t="str">
            <v>001</v>
          </cell>
          <cell r="K2174" t="str">
            <v>喜界水質浄化センター</v>
          </cell>
          <cell r="M2174" t="str">
            <v>1</v>
          </cell>
          <cell r="N2174" t="str">
            <v>1</v>
          </cell>
          <cell r="Q2174">
            <v>38412</v>
          </cell>
          <cell r="R2174" t="str">
            <v>平成</v>
          </cell>
          <cell r="S2174">
            <v>17</v>
          </cell>
          <cell r="T2174">
            <v>3</v>
          </cell>
          <cell r="AB2174">
            <v>13000</v>
          </cell>
          <cell r="AC2174" t="str">
            <v>設定なし</v>
          </cell>
          <cell r="AF2174">
            <v>15</v>
          </cell>
          <cell r="AI2174" t="str">
            <v>東シナ海</v>
          </cell>
          <cell r="AQ2174" t="str">
            <v/>
          </cell>
          <cell r="AR2174" t="str">
            <v>オキシディションディッチ法</v>
          </cell>
          <cell r="AS2174" t="str">
            <v>4652901001</v>
          </cell>
          <cell r="AT2174" t="str">
            <v/>
          </cell>
          <cell r="AU2174" t="str">
            <v>10</v>
          </cell>
          <cell r="AV2174" t="str">
            <v>10</v>
          </cell>
          <cell r="AW2174">
            <v>0</v>
          </cell>
          <cell r="AX2174">
            <v>0</v>
          </cell>
          <cell r="AY2174">
            <v>0</v>
          </cell>
          <cell r="AZ2174">
            <v>0</v>
          </cell>
          <cell r="BA2174">
            <v>0</v>
          </cell>
          <cell r="BD2174" t="str">
            <v/>
          </cell>
          <cell r="BE2174">
            <v>1</v>
          </cell>
          <cell r="BG2174" t="str">
            <v>1100</v>
          </cell>
        </row>
        <row r="2175">
          <cell r="B2175" t="str">
            <v>G465300106100100</v>
          </cell>
          <cell r="C2175" t="str">
            <v>46.鹿児島県</v>
          </cell>
          <cell r="D2175" t="str">
            <v>530</v>
          </cell>
          <cell r="E2175" t="str">
            <v>徳之島町</v>
          </cell>
          <cell r="F2175" t="str">
            <v>01</v>
          </cell>
          <cell r="G2175" t="str">
            <v>公共 単独</v>
          </cell>
          <cell r="H2175" t="str">
            <v>公共下水道</v>
          </cell>
          <cell r="I2175" t="str">
            <v>単独</v>
          </cell>
          <cell r="J2175" t="str">
            <v>001</v>
          </cell>
          <cell r="K2175" t="str">
            <v>徳之島町浄化センター</v>
          </cell>
          <cell r="M2175" t="str">
            <v>1</v>
          </cell>
          <cell r="P2175" t="str">
            <v>1</v>
          </cell>
          <cell r="Q2175">
            <v>40268</v>
          </cell>
          <cell r="R2175" t="str">
            <v>平成</v>
          </cell>
          <cell r="S2175">
            <v>22</v>
          </cell>
          <cell r="T2175">
            <v>3</v>
          </cell>
          <cell r="AB2175">
            <v>10722</v>
          </cell>
          <cell r="AC2175" t="str">
            <v>設定なし</v>
          </cell>
          <cell r="AF2175">
            <v>15</v>
          </cell>
          <cell r="AI2175" t="str">
            <v>太平洋</v>
          </cell>
          <cell r="AQ2175" t="str">
            <v/>
          </cell>
          <cell r="AR2175" t="str">
            <v>オキシディションディッチ法</v>
          </cell>
          <cell r="AS2175" t="str">
            <v>4653001001</v>
          </cell>
          <cell r="AT2175" t="str">
            <v/>
          </cell>
          <cell r="AU2175" t="str">
            <v>00</v>
          </cell>
          <cell r="AV2175" t="str">
            <v>00</v>
          </cell>
          <cell r="AW2175">
            <v>1</v>
          </cell>
          <cell r="AX2175">
            <v>0</v>
          </cell>
          <cell r="AY2175">
            <v>0</v>
          </cell>
          <cell r="AZ2175">
            <v>0</v>
          </cell>
          <cell r="BA2175">
            <v>0</v>
          </cell>
          <cell r="BD2175" t="str">
            <v/>
          </cell>
          <cell r="BE2175">
            <v>1</v>
          </cell>
          <cell r="BG2175" t="str">
            <v>1001</v>
          </cell>
        </row>
        <row r="2176">
          <cell r="B2176" t="str">
            <v>G465330106100100</v>
          </cell>
          <cell r="C2176" t="str">
            <v>46.鹿児島県</v>
          </cell>
          <cell r="D2176" t="str">
            <v>533</v>
          </cell>
          <cell r="E2176" t="str">
            <v>和泊町</v>
          </cell>
          <cell r="F2176" t="str">
            <v>01</v>
          </cell>
          <cell r="G2176" t="str">
            <v>公共 単独</v>
          </cell>
          <cell r="H2176" t="str">
            <v>公共下水道</v>
          </cell>
          <cell r="I2176" t="str">
            <v>単独</v>
          </cell>
          <cell r="J2176" t="str">
            <v>001</v>
          </cell>
          <cell r="K2176" t="str">
            <v>和泊浄化センター</v>
          </cell>
          <cell r="M2176" t="str">
            <v>1</v>
          </cell>
          <cell r="N2176" t="str">
            <v>1</v>
          </cell>
          <cell r="Q2176">
            <v>36220</v>
          </cell>
          <cell r="R2176" t="str">
            <v>平成</v>
          </cell>
          <cell r="S2176">
            <v>11</v>
          </cell>
          <cell r="T2176">
            <v>3</v>
          </cell>
          <cell r="AB2176">
            <v>12400</v>
          </cell>
          <cell r="AF2176">
            <v>15</v>
          </cell>
          <cell r="AI2176" t="str">
            <v>奥川</v>
          </cell>
          <cell r="AQ2176" t="str">
            <v/>
          </cell>
          <cell r="AR2176" t="str">
            <v>オキシディションディッチ法</v>
          </cell>
          <cell r="AS2176" t="str">
            <v>4653301001</v>
          </cell>
          <cell r="AT2176" t="str">
            <v/>
          </cell>
          <cell r="AU2176" t="str">
            <v>10</v>
          </cell>
          <cell r="AV2176" t="str">
            <v>10</v>
          </cell>
          <cell r="AW2176">
            <v>0</v>
          </cell>
          <cell r="AX2176">
            <v>0</v>
          </cell>
          <cell r="AY2176">
            <v>0</v>
          </cell>
          <cell r="AZ2176">
            <v>0</v>
          </cell>
          <cell r="BA2176">
            <v>0</v>
          </cell>
          <cell r="BD2176" t="str">
            <v/>
          </cell>
          <cell r="BE2176">
            <v>1</v>
          </cell>
          <cell r="BG2176" t="str">
            <v>1100</v>
          </cell>
        </row>
        <row r="2177">
          <cell r="B2177" t="str">
            <v>G465340106100100</v>
          </cell>
          <cell r="C2177" t="str">
            <v>46.鹿児島県</v>
          </cell>
          <cell r="D2177" t="str">
            <v>534</v>
          </cell>
          <cell r="E2177" t="str">
            <v>知名町</v>
          </cell>
          <cell r="F2177" t="str">
            <v>01</v>
          </cell>
          <cell r="G2177" t="str">
            <v>公共 単独</v>
          </cell>
          <cell r="H2177" t="str">
            <v>公共下水道</v>
          </cell>
          <cell r="I2177" t="str">
            <v>単独</v>
          </cell>
          <cell r="J2177" t="str">
            <v>001</v>
          </cell>
          <cell r="K2177" t="str">
            <v>知名環境センター</v>
          </cell>
          <cell r="M2177" t="str">
            <v>1</v>
          </cell>
          <cell r="N2177" t="str">
            <v>1</v>
          </cell>
          <cell r="O2177" t="str">
            <v>1</v>
          </cell>
          <cell r="Q2177">
            <v>36586</v>
          </cell>
          <cell r="R2177" t="str">
            <v>平成</v>
          </cell>
          <cell r="S2177">
            <v>12</v>
          </cell>
          <cell r="T2177">
            <v>3</v>
          </cell>
          <cell r="AB2177">
            <v>13800</v>
          </cell>
          <cell r="AF2177">
            <v>15</v>
          </cell>
          <cell r="AI2177" t="str">
            <v>太平洋</v>
          </cell>
          <cell r="AQ2177" t="str">
            <v/>
          </cell>
          <cell r="AR2177" t="str">
            <v>オキシディションディッチ法</v>
          </cell>
          <cell r="AS2177" t="str">
            <v>4653401001</v>
          </cell>
          <cell r="AT2177" t="str">
            <v/>
          </cell>
          <cell r="AU2177" t="str">
            <v>11</v>
          </cell>
          <cell r="AV2177" t="str">
            <v>11</v>
          </cell>
          <cell r="AW2177">
            <v>0</v>
          </cell>
          <cell r="AX2177">
            <v>0</v>
          </cell>
          <cell r="AY2177">
            <v>0</v>
          </cell>
          <cell r="AZ2177">
            <v>0</v>
          </cell>
          <cell r="BA2177">
            <v>0</v>
          </cell>
          <cell r="BD2177" t="str">
            <v/>
          </cell>
          <cell r="BE2177">
            <v>1</v>
          </cell>
          <cell r="BG2177" t="str">
            <v>1110</v>
          </cell>
        </row>
        <row r="2178">
          <cell r="B2178" t="str">
            <v>G470018106100100</v>
          </cell>
          <cell r="C2178" t="str">
            <v>47.沖縄県</v>
          </cell>
          <cell r="D2178" t="str">
            <v>001</v>
          </cell>
          <cell r="E2178" t="str">
            <v>中部流域</v>
          </cell>
          <cell r="F2178" t="str">
            <v>81</v>
          </cell>
          <cell r="G2178" t="str">
            <v>流域</v>
          </cell>
          <cell r="H2178" t="str">
            <v>流域下水道</v>
          </cell>
          <cell r="I2178" t="str">
            <v/>
          </cell>
          <cell r="J2178" t="str">
            <v>001</v>
          </cell>
          <cell r="K2178" t="str">
            <v>那覇浄化センター</v>
          </cell>
          <cell r="M2178" t="str">
            <v>1</v>
          </cell>
          <cell r="N2178" t="str">
            <v>1</v>
          </cell>
          <cell r="O2178" t="str">
            <v>1</v>
          </cell>
          <cell r="P2178" t="str">
            <v>1</v>
          </cell>
          <cell r="Q2178">
            <v>25385</v>
          </cell>
          <cell r="R2178" t="str">
            <v>昭和</v>
          </cell>
          <cell r="S2178">
            <v>44</v>
          </cell>
          <cell r="T2178">
            <v>7</v>
          </cell>
          <cell r="AB2178">
            <v>104800</v>
          </cell>
          <cell r="AC2178" t="str">
            <v>那覇港海域</v>
          </cell>
          <cell r="AD2178" t="str">
            <v>Ａ</v>
          </cell>
          <cell r="AE2178" t="str">
            <v>ロ</v>
          </cell>
          <cell r="AF2178">
            <v>15</v>
          </cell>
          <cell r="AI2178" t="str">
            <v>東支那海・再生水利用施設</v>
          </cell>
          <cell r="AQ2178" t="str">
            <v/>
          </cell>
          <cell r="AR2178" t="str">
            <v>標準活性汚泥法</v>
          </cell>
          <cell r="AS2178" t="str">
            <v>4700181001</v>
          </cell>
          <cell r="AT2178" t="str">
            <v/>
          </cell>
          <cell r="AU2178" t="str">
            <v>11</v>
          </cell>
          <cell r="AV2178" t="str">
            <v>11</v>
          </cell>
          <cell r="AW2178">
            <v>1</v>
          </cell>
          <cell r="AX2178">
            <v>0</v>
          </cell>
          <cell r="AY2178">
            <v>0</v>
          </cell>
          <cell r="AZ2178">
            <v>0</v>
          </cell>
          <cell r="BA2178">
            <v>0</v>
          </cell>
          <cell r="BD2178" t="str">
            <v/>
          </cell>
          <cell r="BE2178">
            <v>1</v>
          </cell>
          <cell r="BG2178" t="str">
            <v>1111</v>
          </cell>
        </row>
        <row r="2179">
          <cell r="B2179" t="str">
            <v>G470018106100200</v>
          </cell>
          <cell r="C2179" t="str">
            <v>47.沖縄県</v>
          </cell>
          <cell r="D2179" t="str">
            <v>001</v>
          </cell>
          <cell r="E2179" t="str">
            <v>中部流域</v>
          </cell>
          <cell r="F2179" t="str">
            <v>81</v>
          </cell>
          <cell r="G2179" t="str">
            <v>流域</v>
          </cell>
          <cell r="H2179" t="str">
            <v>流域下水道</v>
          </cell>
          <cell r="I2179" t="str">
            <v/>
          </cell>
          <cell r="J2179" t="str">
            <v>002</v>
          </cell>
          <cell r="K2179" t="str">
            <v>宜野湾浄化センター</v>
          </cell>
          <cell r="M2179" t="str">
            <v>1</v>
          </cell>
          <cell r="N2179" t="str">
            <v>1</v>
          </cell>
          <cell r="P2179" t="str">
            <v>1</v>
          </cell>
          <cell r="Q2179">
            <v>25750</v>
          </cell>
          <cell r="R2179" t="str">
            <v>昭和</v>
          </cell>
          <cell r="S2179">
            <v>45</v>
          </cell>
          <cell r="T2179">
            <v>7</v>
          </cell>
          <cell r="AB2179">
            <v>137400</v>
          </cell>
          <cell r="AF2179">
            <v>15</v>
          </cell>
          <cell r="AI2179" t="str">
            <v>東支那海</v>
          </cell>
          <cell r="AQ2179" t="str">
            <v/>
          </cell>
          <cell r="AR2179" t="str">
            <v>標準活性汚泥法</v>
          </cell>
          <cell r="AS2179" t="str">
            <v>4700181002</v>
          </cell>
          <cell r="AT2179" t="str">
            <v/>
          </cell>
          <cell r="AU2179" t="str">
            <v>10</v>
          </cell>
          <cell r="AV2179" t="str">
            <v>10</v>
          </cell>
          <cell r="AW2179">
            <v>1</v>
          </cell>
          <cell r="AX2179">
            <v>0</v>
          </cell>
          <cell r="AY2179">
            <v>0</v>
          </cell>
          <cell r="AZ2179">
            <v>0</v>
          </cell>
          <cell r="BA2179">
            <v>0</v>
          </cell>
          <cell r="BD2179" t="str">
            <v/>
          </cell>
          <cell r="BE2179">
            <v>1</v>
          </cell>
          <cell r="BG2179" t="str">
            <v>1101</v>
          </cell>
        </row>
        <row r="2180">
          <cell r="B2180" t="str">
            <v>G470028106100100</v>
          </cell>
          <cell r="C2180" t="str">
            <v>47.沖縄県</v>
          </cell>
          <cell r="D2180" t="str">
            <v>002</v>
          </cell>
          <cell r="E2180" t="str">
            <v>中城湾流域</v>
          </cell>
          <cell r="F2180" t="str">
            <v>81</v>
          </cell>
          <cell r="G2180" t="str">
            <v>流域</v>
          </cell>
          <cell r="H2180" t="str">
            <v>流域下水道</v>
          </cell>
          <cell r="I2180" t="str">
            <v/>
          </cell>
          <cell r="J2180" t="str">
            <v>001</v>
          </cell>
          <cell r="K2180" t="str">
            <v>具志川浄化センター</v>
          </cell>
          <cell r="M2180" t="str">
            <v>1</v>
          </cell>
          <cell r="N2180" t="str">
            <v>1</v>
          </cell>
          <cell r="P2180" t="str">
            <v>1</v>
          </cell>
          <cell r="Q2180">
            <v>31959</v>
          </cell>
          <cell r="R2180" t="str">
            <v>昭和</v>
          </cell>
          <cell r="S2180">
            <v>62</v>
          </cell>
          <cell r="T2180">
            <v>7</v>
          </cell>
          <cell r="AB2180">
            <v>89462</v>
          </cell>
          <cell r="AC2180" t="str">
            <v>中城湾</v>
          </cell>
          <cell r="AD2180" t="str">
            <v>Ａ</v>
          </cell>
          <cell r="AE2180" t="str">
            <v>イ</v>
          </cell>
          <cell r="AF2180">
            <v>15</v>
          </cell>
          <cell r="AI2180" t="str">
            <v>中城湾</v>
          </cell>
          <cell r="AQ2180" t="str">
            <v/>
          </cell>
          <cell r="AR2180" t="str">
            <v>標準活性汚泥法</v>
          </cell>
          <cell r="AS2180" t="str">
            <v>4700281001</v>
          </cell>
          <cell r="AT2180" t="str">
            <v/>
          </cell>
          <cell r="AU2180" t="str">
            <v>10</v>
          </cell>
          <cell r="AV2180" t="str">
            <v>10</v>
          </cell>
          <cell r="AW2180">
            <v>1</v>
          </cell>
          <cell r="AX2180">
            <v>0</v>
          </cell>
          <cell r="AY2180">
            <v>0</v>
          </cell>
          <cell r="AZ2180">
            <v>0</v>
          </cell>
          <cell r="BA2180">
            <v>0</v>
          </cell>
          <cell r="BD2180" t="str">
            <v/>
          </cell>
          <cell r="BE2180">
            <v>1</v>
          </cell>
          <cell r="BG2180" t="str">
            <v>1101</v>
          </cell>
        </row>
        <row r="2181">
          <cell r="B2181" t="str">
            <v>G470038106100100</v>
          </cell>
          <cell r="C2181" t="str">
            <v>47.沖縄県</v>
          </cell>
          <cell r="D2181" t="str">
            <v>003</v>
          </cell>
          <cell r="E2181" t="str">
            <v>中城湾南部流域</v>
          </cell>
          <cell r="F2181" t="str">
            <v>81</v>
          </cell>
          <cell r="G2181" t="str">
            <v>流域</v>
          </cell>
          <cell r="H2181" t="str">
            <v>流域下水道</v>
          </cell>
          <cell r="I2181" t="str">
            <v/>
          </cell>
          <cell r="J2181" t="str">
            <v>001</v>
          </cell>
          <cell r="K2181" t="str">
            <v>西原浄化センター</v>
          </cell>
          <cell r="M2181" t="str">
            <v>1</v>
          </cell>
          <cell r="N2181" t="str">
            <v>1</v>
          </cell>
          <cell r="P2181" t="str">
            <v>1</v>
          </cell>
          <cell r="Q2181">
            <v>37356</v>
          </cell>
          <cell r="R2181" t="str">
            <v>平成</v>
          </cell>
          <cell r="S2181">
            <v>14</v>
          </cell>
          <cell r="T2181">
            <v>4</v>
          </cell>
          <cell r="AB2181">
            <v>72454</v>
          </cell>
          <cell r="AD2181" t="str">
            <v>Ａ</v>
          </cell>
          <cell r="AE2181" t="str">
            <v>イ</v>
          </cell>
          <cell r="AF2181">
            <v>15</v>
          </cell>
          <cell r="AI2181" t="str">
            <v>中城湾</v>
          </cell>
          <cell r="AQ2181" t="str">
            <v/>
          </cell>
          <cell r="AR2181" t="str">
            <v>標準活性汚泥法</v>
          </cell>
          <cell r="AS2181" t="str">
            <v>4700381001</v>
          </cell>
          <cell r="AT2181" t="str">
            <v/>
          </cell>
          <cell r="AU2181" t="str">
            <v>10</v>
          </cell>
          <cell r="AV2181" t="str">
            <v>10</v>
          </cell>
          <cell r="AW2181">
            <v>1</v>
          </cell>
          <cell r="AX2181">
            <v>0</v>
          </cell>
          <cell r="AY2181">
            <v>0</v>
          </cell>
          <cell r="AZ2181">
            <v>0</v>
          </cell>
          <cell r="BA2181">
            <v>0</v>
          </cell>
          <cell r="BD2181" t="str">
            <v/>
          </cell>
          <cell r="BE2181">
            <v>1</v>
          </cell>
          <cell r="BG2181" t="str">
            <v>1101</v>
          </cell>
        </row>
        <row r="2182">
          <cell r="B2182" t="str">
            <v>G472070106100100</v>
          </cell>
          <cell r="C2182" t="str">
            <v>47.沖縄県</v>
          </cell>
          <cell r="D2182" t="str">
            <v>207</v>
          </cell>
          <cell r="E2182" t="str">
            <v>石垣市</v>
          </cell>
          <cell r="F2182" t="str">
            <v>01</v>
          </cell>
          <cell r="G2182" t="str">
            <v>公共 単独</v>
          </cell>
          <cell r="H2182" t="str">
            <v>公共下水道</v>
          </cell>
          <cell r="I2182" t="str">
            <v>単独</v>
          </cell>
          <cell r="J2182" t="str">
            <v>001</v>
          </cell>
          <cell r="K2182" t="str">
            <v>石垣西浄化センター</v>
          </cell>
          <cell r="M2182" t="str">
            <v>1</v>
          </cell>
          <cell r="N2182" t="str">
            <v>1</v>
          </cell>
          <cell r="Q2182">
            <v>36923</v>
          </cell>
          <cell r="R2182" t="str">
            <v>平成</v>
          </cell>
          <cell r="S2182">
            <v>13</v>
          </cell>
          <cell r="T2182">
            <v>2</v>
          </cell>
          <cell r="AB2182">
            <v>25500</v>
          </cell>
          <cell r="AC2182" t="str">
            <v>石垣港</v>
          </cell>
          <cell r="AD2182" t="str">
            <v>Ａ</v>
          </cell>
          <cell r="AE2182" t="str">
            <v>ロ</v>
          </cell>
          <cell r="AF2182">
            <v>15</v>
          </cell>
          <cell r="AI2182" t="str">
            <v>石垣港海域</v>
          </cell>
          <cell r="AQ2182" t="str">
            <v/>
          </cell>
          <cell r="AR2182" t="str">
            <v>標準活性汚泥法</v>
          </cell>
          <cell r="AS2182" t="str">
            <v>4720701001</v>
          </cell>
          <cell r="AT2182" t="str">
            <v/>
          </cell>
          <cell r="AU2182" t="str">
            <v>10</v>
          </cell>
          <cell r="AV2182" t="str">
            <v>10</v>
          </cell>
          <cell r="AW2182">
            <v>0</v>
          </cell>
          <cell r="AX2182">
            <v>0</v>
          </cell>
          <cell r="AY2182">
            <v>0</v>
          </cell>
          <cell r="AZ2182">
            <v>0</v>
          </cell>
          <cell r="BA2182">
            <v>0</v>
          </cell>
          <cell r="BD2182" t="str">
            <v/>
          </cell>
          <cell r="BE2182">
            <v>1</v>
          </cell>
          <cell r="BG2182" t="str">
            <v>1100</v>
          </cell>
        </row>
        <row r="2183">
          <cell r="B2183" t="str">
            <v>G472070206100200</v>
          </cell>
          <cell r="C2183" t="str">
            <v>47.沖縄県</v>
          </cell>
          <cell r="D2183" t="str">
            <v>207</v>
          </cell>
          <cell r="E2183" t="str">
            <v>石垣市</v>
          </cell>
          <cell r="F2183" t="str">
            <v>02</v>
          </cell>
          <cell r="G2183" t="str">
            <v>特環 単独</v>
          </cell>
          <cell r="H2183" t="str">
            <v>特定環境保全公共下水道</v>
          </cell>
          <cell r="I2183" t="str">
            <v>単独</v>
          </cell>
          <cell r="J2183" t="str">
            <v>002</v>
          </cell>
          <cell r="K2183" t="str">
            <v>川平浄化センター</v>
          </cell>
          <cell r="M2183" t="str">
            <v>1</v>
          </cell>
          <cell r="N2183" t="str">
            <v>1</v>
          </cell>
          <cell r="Q2183">
            <v>34425</v>
          </cell>
          <cell r="R2183" t="str">
            <v>平成</v>
          </cell>
          <cell r="S2183">
            <v>6</v>
          </cell>
          <cell r="T2183">
            <v>4</v>
          </cell>
          <cell r="AB2183">
            <v>10000</v>
          </cell>
          <cell r="AC2183" t="str">
            <v>川平湾</v>
          </cell>
          <cell r="AD2183" t="str">
            <v>Ａ</v>
          </cell>
          <cell r="AE2183" t="str">
            <v>イ</v>
          </cell>
          <cell r="AF2183">
            <v>15</v>
          </cell>
          <cell r="AI2183" t="str">
            <v>川平湾海域</v>
          </cell>
          <cell r="AQ2183" t="str">
            <v/>
          </cell>
          <cell r="AR2183" t="str">
            <v>オキシディションディッチ法</v>
          </cell>
          <cell r="AS2183" t="str">
            <v>4720702002</v>
          </cell>
          <cell r="AT2183" t="str">
            <v/>
          </cell>
          <cell r="AU2183" t="str">
            <v>10</v>
          </cell>
          <cell r="AV2183" t="str">
            <v>10</v>
          </cell>
          <cell r="AW2183">
            <v>0</v>
          </cell>
          <cell r="AX2183">
            <v>0</v>
          </cell>
          <cell r="AY2183">
            <v>0</v>
          </cell>
          <cell r="AZ2183">
            <v>0</v>
          </cell>
          <cell r="BA2183">
            <v>0</v>
          </cell>
          <cell r="BD2183" t="str">
            <v/>
          </cell>
          <cell r="BE2183">
            <v>1</v>
          </cell>
          <cell r="BG2183" t="str">
            <v>1100</v>
          </cell>
        </row>
        <row r="2184">
          <cell r="B2184" t="str">
            <v>G472090106100100</v>
          </cell>
          <cell r="C2184" t="str">
            <v>47.沖縄県</v>
          </cell>
          <cell r="D2184" t="str">
            <v>209</v>
          </cell>
          <cell r="E2184" t="str">
            <v>名護市</v>
          </cell>
          <cell r="F2184" t="str">
            <v>01</v>
          </cell>
          <cell r="G2184" t="str">
            <v>公共 単独</v>
          </cell>
          <cell r="H2184" t="str">
            <v>公共下水道</v>
          </cell>
          <cell r="I2184" t="str">
            <v>単独</v>
          </cell>
          <cell r="J2184" t="str">
            <v>001</v>
          </cell>
          <cell r="K2184" t="str">
            <v>名護下水処理場</v>
          </cell>
          <cell r="M2184" t="str">
            <v>1</v>
          </cell>
          <cell r="N2184" t="str">
            <v>1</v>
          </cell>
          <cell r="O2184" t="str">
            <v>1</v>
          </cell>
          <cell r="P2184" t="str">
            <v>1</v>
          </cell>
          <cell r="Q2184">
            <v>28946</v>
          </cell>
          <cell r="R2184" t="str">
            <v>昭和</v>
          </cell>
          <cell r="S2184">
            <v>54</v>
          </cell>
          <cell r="T2184">
            <v>4</v>
          </cell>
          <cell r="AB2184">
            <v>27.65</v>
          </cell>
          <cell r="AC2184" t="str">
            <v>名護湾</v>
          </cell>
          <cell r="AD2184" t="str">
            <v>Ａ</v>
          </cell>
          <cell r="AE2184" t="str">
            <v>イ</v>
          </cell>
          <cell r="AF2184">
            <v>15</v>
          </cell>
          <cell r="AI2184" t="str">
            <v>名護湾</v>
          </cell>
          <cell r="AQ2184" t="str">
            <v/>
          </cell>
          <cell r="AR2184" t="str">
            <v>標準活性汚泥法</v>
          </cell>
          <cell r="AS2184" t="str">
            <v>4720901001</v>
          </cell>
          <cell r="AT2184" t="str">
            <v/>
          </cell>
          <cell r="AU2184" t="str">
            <v>11</v>
          </cell>
          <cell r="AV2184" t="str">
            <v>11</v>
          </cell>
          <cell r="AW2184">
            <v>1</v>
          </cell>
          <cell r="AX2184">
            <v>0</v>
          </cell>
          <cell r="AY2184">
            <v>0</v>
          </cell>
          <cell r="AZ2184">
            <v>0</v>
          </cell>
          <cell r="BA2184">
            <v>0</v>
          </cell>
          <cell r="BD2184" t="str">
            <v/>
          </cell>
          <cell r="BE2184">
            <v>1</v>
          </cell>
          <cell r="BG2184" t="str">
            <v>1111</v>
          </cell>
        </row>
        <row r="2185">
          <cell r="B2185" t="str">
            <v>G472090206100200</v>
          </cell>
          <cell r="C2185" t="str">
            <v>47.沖縄県</v>
          </cell>
          <cell r="D2185" t="str">
            <v>209</v>
          </cell>
          <cell r="E2185" t="str">
            <v>名護市</v>
          </cell>
          <cell r="F2185" t="str">
            <v>02</v>
          </cell>
          <cell r="G2185" t="str">
            <v>特環 単独</v>
          </cell>
          <cell r="H2185" t="str">
            <v>特定環境保全公共下水道</v>
          </cell>
          <cell r="I2185" t="str">
            <v>単独</v>
          </cell>
          <cell r="J2185" t="str">
            <v>002</v>
          </cell>
          <cell r="K2185" t="str">
            <v>喜瀬下水処理場</v>
          </cell>
          <cell r="M2185" t="str">
            <v>1</v>
          </cell>
          <cell r="N2185" t="str">
            <v>1</v>
          </cell>
          <cell r="O2185" t="str">
            <v>1</v>
          </cell>
          <cell r="Q2185">
            <v>33329</v>
          </cell>
          <cell r="R2185" t="str">
            <v>平成</v>
          </cell>
          <cell r="S2185">
            <v>3</v>
          </cell>
          <cell r="T2185">
            <v>4</v>
          </cell>
          <cell r="AB2185">
            <v>1700</v>
          </cell>
          <cell r="AC2185" t="str">
            <v>名護湾</v>
          </cell>
          <cell r="AD2185" t="str">
            <v>Ａ</v>
          </cell>
          <cell r="AE2185" t="str">
            <v>イ</v>
          </cell>
          <cell r="AF2185">
            <v>15</v>
          </cell>
          <cell r="AI2185" t="str">
            <v>名護湾</v>
          </cell>
          <cell r="AQ2185" t="str">
            <v/>
          </cell>
          <cell r="AR2185" t="str">
            <v>長時間エアレーション法</v>
          </cell>
          <cell r="AS2185" t="str">
            <v>4720902002</v>
          </cell>
          <cell r="AT2185" t="str">
            <v/>
          </cell>
          <cell r="AU2185" t="str">
            <v>11</v>
          </cell>
          <cell r="AV2185" t="str">
            <v>11</v>
          </cell>
          <cell r="AW2185">
            <v>0</v>
          </cell>
          <cell r="AX2185">
            <v>0</v>
          </cell>
          <cell r="AY2185">
            <v>0</v>
          </cell>
          <cell r="AZ2185">
            <v>0</v>
          </cell>
          <cell r="BA2185">
            <v>0</v>
          </cell>
          <cell r="BD2185" t="str">
            <v/>
          </cell>
          <cell r="BE2185">
            <v>1</v>
          </cell>
          <cell r="BG2185" t="str">
            <v>1110</v>
          </cell>
        </row>
        <row r="2186">
          <cell r="B2186" t="str">
            <v>G472100106100100</v>
          </cell>
          <cell r="C2186" t="str">
            <v>47.沖縄県</v>
          </cell>
          <cell r="D2186" t="str">
            <v>210</v>
          </cell>
          <cell r="E2186" t="str">
            <v>糸満市</v>
          </cell>
          <cell r="F2186" t="str">
            <v>01</v>
          </cell>
          <cell r="G2186" t="str">
            <v>公共 単独</v>
          </cell>
          <cell r="H2186" t="str">
            <v>公共下水道</v>
          </cell>
          <cell r="I2186" t="str">
            <v>単独</v>
          </cell>
          <cell r="J2186" t="str">
            <v>001</v>
          </cell>
          <cell r="K2186" t="str">
            <v>糸満市終末処理場</v>
          </cell>
          <cell r="M2186" t="str">
            <v>1</v>
          </cell>
          <cell r="N2186" t="str">
            <v>1</v>
          </cell>
          <cell r="P2186" t="str">
            <v>1</v>
          </cell>
          <cell r="Q2186">
            <v>30376</v>
          </cell>
          <cell r="R2186" t="str">
            <v>昭和</v>
          </cell>
          <cell r="S2186">
            <v>58</v>
          </cell>
          <cell r="T2186">
            <v>3</v>
          </cell>
          <cell r="AB2186">
            <v>45000</v>
          </cell>
          <cell r="AF2186">
            <v>15</v>
          </cell>
          <cell r="AI2186" t="str">
            <v>東支那海</v>
          </cell>
          <cell r="AQ2186" t="str">
            <v/>
          </cell>
          <cell r="AR2186" t="str">
            <v>標準活性汚泥法</v>
          </cell>
          <cell r="AS2186" t="str">
            <v>4721001001</v>
          </cell>
          <cell r="AT2186" t="str">
            <v/>
          </cell>
          <cell r="AU2186" t="str">
            <v>10</v>
          </cell>
          <cell r="AV2186" t="str">
            <v>10</v>
          </cell>
          <cell r="AW2186">
            <v>1</v>
          </cell>
          <cell r="AX2186">
            <v>0</v>
          </cell>
          <cell r="AY2186">
            <v>0</v>
          </cell>
          <cell r="AZ2186">
            <v>0</v>
          </cell>
          <cell r="BA2186">
            <v>0</v>
          </cell>
          <cell r="BD2186" t="str">
            <v/>
          </cell>
          <cell r="BE2186">
            <v>1</v>
          </cell>
          <cell r="BG2186" t="str">
            <v>1101</v>
          </cell>
        </row>
        <row r="2187">
          <cell r="B2187" t="str">
            <v>G472130106100100</v>
          </cell>
          <cell r="C2187" t="str">
            <v>47.沖縄県</v>
          </cell>
          <cell r="D2187" t="str">
            <v>213</v>
          </cell>
          <cell r="E2187" t="str">
            <v>うるま市</v>
          </cell>
          <cell r="F2187" t="str">
            <v>01</v>
          </cell>
          <cell r="G2187" t="str">
            <v>公共 単独</v>
          </cell>
          <cell r="H2187" t="str">
            <v>公共下水道</v>
          </cell>
          <cell r="I2187" t="str">
            <v>単独</v>
          </cell>
          <cell r="J2187" t="str">
            <v>001</v>
          </cell>
          <cell r="K2187" t="str">
            <v>石川終末処理場</v>
          </cell>
          <cell r="M2187" t="str">
            <v>1</v>
          </cell>
          <cell r="N2187" t="str">
            <v>1</v>
          </cell>
          <cell r="P2187" t="str">
            <v>1</v>
          </cell>
          <cell r="Q2187">
            <v>27150</v>
          </cell>
          <cell r="R2187" t="str">
            <v>昭和</v>
          </cell>
          <cell r="S2187">
            <v>49</v>
          </cell>
          <cell r="T2187">
            <v>5</v>
          </cell>
          <cell r="AB2187">
            <v>19210</v>
          </cell>
          <cell r="AC2187" t="str">
            <v>金武湾</v>
          </cell>
          <cell r="AD2187" t="str">
            <v>Ａ</v>
          </cell>
          <cell r="AE2187" t="str">
            <v>イ</v>
          </cell>
          <cell r="AF2187">
            <v>15</v>
          </cell>
          <cell r="AI2187" t="str">
            <v>金武湾</v>
          </cell>
          <cell r="AQ2187" t="str">
            <v/>
          </cell>
          <cell r="AR2187" t="str">
            <v>標準活性汚泥法</v>
          </cell>
          <cell r="AS2187" t="str">
            <v>4721301001</v>
          </cell>
          <cell r="AT2187" t="str">
            <v/>
          </cell>
          <cell r="AU2187" t="str">
            <v>10</v>
          </cell>
          <cell r="AV2187" t="str">
            <v>10</v>
          </cell>
          <cell r="AW2187">
            <v>1</v>
          </cell>
          <cell r="AX2187">
            <v>0</v>
          </cell>
          <cell r="AY2187">
            <v>0</v>
          </cell>
          <cell r="AZ2187">
            <v>0</v>
          </cell>
          <cell r="BA2187">
            <v>0</v>
          </cell>
          <cell r="BD2187" t="str">
            <v/>
          </cell>
          <cell r="BE2187">
            <v>1</v>
          </cell>
          <cell r="BG2187" t="str">
            <v>1101</v>
          </cell>
        </row>
        <row r="2188">
          <cell r="B2188" t="str">
            <v>G472140106100100</v>
          </cell>
          <cell r="C2188" t="str">
            <v>47.沖縄県</v>
          </cell>
          <cell r="D2188" t="str">
            <v>214</v>
          </cell>
          <cell r="E2188" t="str">
            <v>宮古島市</v>
          </cell>
          <cell r="F2188" t="str">
            <v>01</v>
          </cell>
          <cell r="G2188" t="str">
            <v>公共 単独</v>
          </cell>
          <cell r="H2188" t="str">
            <v>公共下水道</v>
          </cell>
          <cell r="I2188" t="str">
            <v>単独</v>
          </cell>
          <cell r="J2188" t="str">
            <v>001</v>
          </cell>
          <cell r="K2188" t="str">
            <v>宮古島市浄水管理センター</v>
          </cell>
          <cell r="M2188" t="str">
            <v>1</v>
          </cell>
          <cell r="N2188" t="str">
            <v>1</v>
          </cell>
          <cell r="Q2188">
            <v>35735</v>
          </cell>
          <cell r="R2188" t="str">
            <v>平成</v>
          </cell>
          <cell r="S2188">
            <v>9</v>
          </cell>
          <cell r="T2188">
            <v>11</v>
          </cell>
          <cell r="U2188" t="str">
            <v>名称変更</v>
          </cell>
          <cell r="V2188">
            <v>41222</v>
          </cell>
          <cell r="W2188" t="str">
            <v>平成</v>
          </cell>
          <cell r="X2188">
            <v>24</v>
          </cell>
          <cell r="Y2188">
            <v>11</v>
          </cell>
          <cell r="Z2188" t="str">
            <v>宮古島市浄水管理センター</v>
          </cell>
          <cell r="AA2188" t="str">
            <v>宮古島市浄化センター</v>
          </cell>
          <cell r="AB2188">
            <v>39300</v>
          </cell>
          <cell r="AC2188" t="str">
            <v>平良港</v>
          </cell>
          <cell r="AD2188" t="str">
            <v>Ａ</v>
          </cell>
          <cell r="AE2188" t="str">
            <v>ロ</v>
          </cell>
          <cell r="AF2188">
            <v>15</v>
          </cell>
          <cell r="AI2188" t="str">
            <v>平良湾</v>
          </cell>
          <cell r="AQ2188" t="str">
            <v/>
          </cell>
          <cell r="AR2188" t="str">
            <v>オキシディションディッチ法</v>
          </cell>
          <cell r="AS2188" t="str">
            <v>4721401001</v>
          </cell>
          <cell r="AT2188" t="str">
            <v/>
          </cell>
          <cell r="AU2188" t="str">
            <v>10</v>
          </cell>
          <cell r="AV2188" t="str">
            <v>10</v>
          </cell>
          <cell r="AW2188">
            <v>0</v>
          </cell>
          <cell r="AX2188">
            <v>0</v>
          </cell>
          <cell r="AY2188">
            <v>0</v>
          </cell>
          <cell r="AZ2188">
            <v>0</v>
          </cell>
          <cell r="BA2188">
            <v>0</v>
          </cell>
          <cell r="BD2188" t="str">
            <v/>
          </cell>
          <cell r="BE2188">
            <v>1</v>
          </cell>
          <cell r="BG2188" t="str">
            <v>1100</v>
          </cell>
        </row>
        <row r="2189">
          <cell r="B2189" t="str">
            <v>G473020206100100</v>
          </cell>
          <cell r="C2189" t="str">
            <v>47.沖縄県</v>
          </cell>
          <cell r="D2189" t="str">
            <v>302</v>
          </cell>
          <cell r="E2189" t="str">
            <v>大宜味村</v>
          </cell>
          <cell r="F2189" t="str">
            <v>02</v>
          </cell>
          <cell r="G2189" t="str">
            <v>特環 単独</v>
          </cell>
          <cell r="H2189" t="str">
            <v>特定環境保全公共下水道</v>
          </cell>
          <cell r="I2189" t="str">
            <v>単独</v>
          </cell>
          <cell r="J2189" t="str">
            <v>001</v>
          </cell>
          <cell r="K2189" t="str">
            <v>大宜味浄化センター</v>
          </cell>
          <cell r="M2189" t="str">
            <v>1</v>
          </cell>
          <cell r="Q2189">
            <v>40575</v>
          </cell>
          <cell r="R2189" t="str">
            <v>平成</v>
          </cell>
          <cell r="S2189">
            <v>23</v>
          </cell>
          <cell r="T2189">
            <v>2</v>
          </cell>
          <cell r="AB2189">
            <v>2069</v>
          </cell>
          <cell r="AF2189">
            <v>15</v>
          </cell>
          <cell r="AI2189" t="str">
            <v>東シナ海</v>
          </cell>
          <cell r="AL2189" t="str">
            <v>平南川取水口</v>
          </cell>
          <cell r="AM2189">
            <v>3.5</v>
          </cell>
          <cell r="AO2189" t="str">
            <v>沖縄県企業局</v>
          </cell>
          <cell r="AQ2189" t="str">
            <v/>
          </cell>
          <cell r="AR2189" t="str">
            <v>その他処理方法</v>
          </cell>
          <cell r="AS2189" t="str">
            <v>4730202001</v>
          </cell>
          <cell r="AT2189">
            <v>1</v>
          </cell>
          <cell r="AU2189" t="str">
            <v>00</v>
          </cell>
          <cell r="AV2189" t="str">
            <v>00</v>
          </cell>
          <cell r="AW2189">
            <v>0</v>
          </cell>
          <cell r="AX2189">
            <v>0</v>
          </cell>
          <cell r="AY2189">
            <v>0</v>
          </cell>
          <cell r="AZ2189">
            <v>0</v>
          </cell>
          <cell r="BA2189">
            <v>0</v>
          </cell>
          <cell r="BD2189" t="str">
            <v/>
          </cell>
          <cell r="BE2189">
            <v>1</v>
          </cell>
          <cell r="BG2189" t="str">
            <v>1000</v>
          </cell>
        </row>
        <row r="2190">
          <cell r="B2190" t="str">
            <v>G473080106100100</v>
          </cell>
          <cell r="C2190" t="str">
            <v>47.沖縄県</v>
          </cell>
          <cell r="D2190" t="str">
            <v>308</v>
          </cell>
          <cell r="E2190" t="str">
            <v>本部町</v>
          </cell>
          <cell r="F2190" t="str">
            <v>01</v>
          </cell>
          <cell r="G2190" t="str">
            <v>公共 単独</v>
          </cell>
          <cell r="H2190" t="str">
            <v>公共下水道</v>
          </cell>
          <cell r="I2190" t="str">
            <v>単独</v>
          </cell>
          <cell r="J2190" t="str">
            <v>001</v>
          </cell>
          <cell r="K2190" t="str">
            <v>本部町浄化センター</v>
          </cell>
          <cell r="M2190" t="str">
            <v>1</v>
          </cell>
          <cell r="N2190" t="str">
            <v>1</v>
          </cell>
          <cell r="P2190" t="str">
            <v>1</v>
          </cell>
          <cell r="Q2190">
            <v>27576</v>
          </cell>
          <cell r="R2190" t="str">
            <v>昭和</v>
          </cell>
          <cell r="S2190">
            <v>50</v>
          </cell>
          <cell r="T2190">
            <v>7</v>
          </cell>
          <cell r="AB2190">
            <v>17020</v>
          </cell>
          <cell r="AC2190" t="str">
            <v>設定なし</v>
          </cell>
          <cell r="AF2190">
            <v>15</v>
          </cell>
          <cell r="AI2190" t="str">
            <v>沖縄本島北部西海岸</v>
          </cell>
          <cell r="AL2190" t="str">
            <v>浦崎1号井戸</v>
          </cell>
          <cell r="AM2190">
            <v>2.1</v>
          </cell>
          <cell r="AO2190" t="str">
            <v>本部町</v>
          </cell>
          <cell r="AQ2190" t="str">
            <v/>
          </cell>
          <cell r="AR2190" t="str">
            <v>標準活性汚泥法</v>
          </cell>
          <cell r="AS2190" t="str">
            <v>4730801001</v>
          </cell>
          <cell r="AT2190" t="str">
            <v/>
          </cell>
          <cell r="AU2190" t="str">
            <v>10</v>
          </cell>
          <cell r="AV2190" t="str">
            <v>10</v>
          </cell>
          <cell r="AW2190">
            <v>1</v>
          </cell>
          <cell r="AX2190">
            <v>0</v>
          </cell>
          <cell r="AY2190">
            <v>0</v>
          </cell>
          <cell r="AZ2190">
            <v>0</v>
          </cell>
          <cell r="BA2190">
            <v>0</v>
          </cell>
          <cell r="BD2190" t="str">
            <v/>
          </cell>
          <cell r="BE2190">
            <v>1</v>
          </cell>
          <cell r="BG2190" t="str">
            <v>1101</v>
          </cell>
        </row>
        <row r="2191">
          <cell r="B2191" t="str">
            <v>G473240106100100</v>
          </cell>
          <cell r="C2191" t="str">
            <v>47.沖縄県</v>
          </cell>
          <cell r="D2191" t="str">
            <v>324</v>
          </cell>
          <cell r="E2191" t="str">
            <v>読谷村</v>
          </cell>
          <cell r="F2191" t="str">
            <v>01</v>
          </cell>
          <cell r="G2191" t="str">
            <v>公共 単独</v>
          </cell>
          <cell r="H2191" t="str">
            <v>公共下水道</v>
          </cell>
          <cell r="I2191" t="str">
            <v>単独</v>
          </cell>
          <cell r="J2191" t="str">
            <v>001</v>
          </cell>
          <cell r="K2191" t="str">
            <v>楚辺浄化センター</v>
          </cell>
          <cell r="M2191" t="str">
            <v>1</v>
          </cell>
          <cell r="N2191" t="str">
            <v>1</v>
          </cell>
          <cell r="O2191" t="str">
            <v>1</v>
          </cell>
          <cell r="Q2191">
            <v>35339</v>
          </cell>
          <cell r="R2191" t="str">
            <v>平成</v>
          </cell>
          <cell r="S2191">
            <v>8</v>
          </cell>
          <cell r="T2191">
            <v>10</v>
          </cell>
          <cell r="AB2191">
            <v>10100</v>
          </cell>
          <cell r="AF2191">
            <v>15</v>
          </cell>
          <cell r="AI2191" t="str">
            <v>東シナ海</v>
          </cell>
          <cell r="AQ2191" t="str">
            <v/>
          </cell>
          <cell r="AR2191" t="str">
            <v>土壌被覆型礫間接触法</v>
          </cell>
          <cell r="AS2191" t="str">
            <v>4732401001</v>
          </cell>
          <cell r="AT2191" t="str">
            <v/>
          </cell>
          <cell r="AU2191" t="str">
            <v>11</v>
          </cell>
          <cell r="AV2191" t="str">
            <v>11</v>
          </cell>
          <cell r="AW2191">
            <v>0</v>
          </cell>
          <cell r="AX2191">
            <v>0</v>
          </cell>
          <cell r="AY2191">
            <v>0</v>
          </cell>
          <cell r="AZ2191">
            <v>0</v>
          </cell>
          <cell r="BA2191">
            <v>0</v>
          </cell>
          <cell r="BD2191" t="str">
            <v/>
          </cell>
          <cell r="BE2191">
            <v>1</v>
          </cell>
          <cell r="BG2191" t="str">
            <v>1110</v>
          </cell>
        </row>
        <row r="2192">
          <cell r="B2192" t="str">
            <v>G473530206100100</v>
          </cell>
          <cell r="C2192" t="str">
            <v>47.沖縄県</v>
          </cell>
          <cell r="D2192" t="str">
            <v>353</v>
          </cell>
          <cell r="E2192" t="str">
            <v>渡嘉敷村</v>
          </cell>
          <cell r="F2192" t="str">
            <v>02</v>
          </cell>
          <cell r="G2192" t="str">
            <v>特環 単独</v>
          </cell>
          <cell r="H2192" t="str">
            <v>特定環境保全公共下水道</v>
          </cell>
          <cell r="I2192" t="str">
            <v>単独</v>
          </cell>
          <cell r="J2192" t="str">
            <v>001</v>
          </cell>
          <cell r="K2192" t="str">
            <v>阿波連浄化センター</v>
          </cell>
          <cell r="M2192" t="str">
            <v>1</v>
          </cell>
          <cell r="N2192" t="str">
            <v>1</v>
          </cell>
          <cell r="Q2192">
            <v>34304</v>
          </cell>
          <cell r="R2192" t="str">
            <v>平成</v>
          </cell>
          <cell r="S2192">
            <v>5</v>
          </cell>
          <cell r="T2192">
            <v>12</v>
          </cell>
          <cell r="AB2192">
            <v>2000</v>
          </cell>
          <cell r="AC2192" t="str">
            <v>設定なし</v>
          </cell>
          <cell r="AF2192">
            <v>15</v>
          </cell>
          <cell r="AJ2192" t="str">
            <v>大川</v>
          </cell>
          <cell r="AL2192" t="str">
            <v>大川取水堰</v>
          </cell>
          <cell r="AM2192">
            <v>0.5</v>
          </cell>
          <cell r="AO2192" t="str">
            <v>渡嘉敷村</v>
          </cell>
          <cell r="AQ2192" t="str">
            <v/>
          </cell>
          <cell r="AR2192" t="str">
            <v>回分式活性汚泥法</v>
          </cell>
          <cell r="AS2192" t="str">
            <v>4735302001</v>
          </cell>
          <cell r="AT2192" t="str">
            <v/>
          </cell>
          <cell r="AU2192" t="str">
            <v>10</v>
          </cell>
          <cell r="AV2192" t="str">
            <v>10</v>
          </cell>
          <cell r="AW2192">
            <v>0</v>
          </cell>
          <cell r="AX2192">
            <v>0</v>
          </cell>
          <cell r="AY2192">
            <v>0</v>
          </cell>
          <cell r="AZ2192">
            <v>0</v>
          </cell>
          <cell r="BA2192">
            <v>0</v>
          </cell>
          <cell r="BD2192" t="str">
            <v/>
          </cell>
          <cell r="BE2192">
            <v>1</v>
          </cell>
          <cell r="BG2192" t="str">
            <v>1100</v>
          </cell>
        </row>
        <row r="2193">
          <cell r="B2193" t="str">
            <v>G473540206100100</v>
          </cell>
          <cell r="C2193" t="str">
            <v>47.沖縄県</v>
          </cell>
          <cell r="D2193" t="str">
            <v>354</v>
          </cell>
          <cell r="E2193" t="str">
            <v>座間味村</v>
          </cell>
          <cell r="F2193" t="str">
            <v>02</v>
          </cell>
          <cell r="G2193" t="str">
            <v>特環 単独</v>
          </cell>
          <cell r="H2193" t="str">
            <v>特定環境保全公共下水道</v>
          </cell>
          <cell r="I2193" t="str">
            <v>単独</v>
          </cell>
          <cell r="J2193" t="str">
            <v>001</v>
          </cell>
          <cell r="K2193" t="str">
            <v>座間味浄化センター</v>
          </cell>
          <cell r="M2193" t="str">
            <v>1</v>
          </cell>
          <cell r="N2193" t="str">
            <v>1</v>
          </cell>
          <cell r="Q2193">
            <v>35521</v>
          </cell>
          <cell r="R2193" t="str">
            <v>平成</v>
          </cell>
          <cell r="S2193">
            <v>9</v>
          </cell>
          <cell r="T2193">
            <v>4</v>
          </cell>
          <cell r="AB2193">
            <v>3730</v>
          </cell>
          <cell r="AF2193">
            <v>15</v>
          </cell>
          <cell r="AJ2193" t="str">
            <v>内川</v>
          </cell>
          <cell r="AL2193" t="str">
            <v>座間味浄水場</v>
          </cell>
          <cell r="AM2193">
            <v>1.5</v>
          </cell>
          <cell r="AO2193" t="str">
            <v>座間味村</v>
          </cell>
          <cell r="AQ2193" t="str">
            <v/>
          </cell>
          <cell r="AR2193" t="str">
            <v>オキシディションディッチ法</v>
          </cell>
          <cell r="AS2193" t="str">
            <v>4735402001</v>
          </cell>
          <cell r="AT2193" t="str">
            <v/>
          </cell>
          <cell r="AU2193" t="str">
            <v>10</v>
          </cell>
          <cell r="AV2193" t="str">
            <v>10</v>
          </cell>
          <cell r="AW2193">
            <v>0</v>
          </cell>
          <cell r="AX2193">
            <v>0</v>
          </cell>
          <cell r="AY2193">
            <v>0</v>
          </cell>
          <cell r="AZ2193">
            <v>0</v>
          </cell>
          <cell r="BA2193">
            <v>0</v>
          </cell>
          <cell r="BD2193" t="str">
            <v/>
          </cell>
          <cell r="BE2193">
            <v>1</v>
          </cell>
          <cell r="BG2193" t="str">
            <v>1100</v>
          </cell>
        </row>
        <row r="2194">
          <cell r="B2194" t="str">
            <v>G473610206100100</v>
          </cell>
          <cell r="C2194" t="str">
            <v>47.沖縄県</v>
          </cell>
          <cell r="D2194" t="str">
            <v>361</v>
          </cell>
          <cell r="E2194" t="str">
            <v>久米島町</v>
          </cell>
          <cell r="F2194" t="str">
            <v>02</v>
          </cell>
          <cell r="G2194" t="str">
            <v>特環 単独</v>
          </cell>
          <cell r="H2194" t="str">
            <v>特定環境保全公共下水道</v>
          </cell>
          <cell r="I2194" t="str">
            <v>単独</v>
          </cell>
          <cell r="J2194" t="str">
            <v>001</v>
          </cell>
          <cell r="K2194" t="str">
            <v>イーフ浄化センター</v>
          </cell>
          <cell r="M2194" t="str">
            <v>1</v>
          </cell>
          <cell r="N2194" t="str">
            <v>1</v>
          </cell>
          <cell r="Q2194">
            <v>34790</v>
          </cell>
          <cell r="R2194" t="str">
            <v>平成</v>
          </cell>
          <cell r="S2194">
            <v>7</v>
          </cell>
          <cell r="T2194">
            <v>4</v>
          </cell>
          <cell r="AB2194">
            <v>6237</v>
          </cell>
          <cell r="AC2194" t="str">
            <v>指定無し</v>
          </cell>
          <cell r="AF2194">
            <v>15</v>
          </cell>
          <cell r="AI2194" t="str">
            <v>８号支線排水路</v>
          </cell>
          <cell r="AQ2194" t="str">
            <v/>
          </cell>
          <cell r="AR2194" t="str">
            <v>土壌被覆型礫間接触法</v>
          </cell>
          <cell r="AS2194" t="str">
            <v>4736102001</v>
          </cell>
          <cell r="AT2194" t="str">
            <v/>
          </cell>
          <cell r="AU2194" t="str">
            <v>10</v>
          </cell>
          <cell r="AV2194" t="str">
            <v>10</v>
          </cell>
          <cell r="AW2194">
            <v>0</v>
          </cell>
          <cell r="AX2194">
            <v>0</v>
          </cell>
          <cell r="AY2194">
            <v>0</v>
          </cell>
          <cell r="AZ2194">
            <v>0</v>
          </cell>
          <cell r="BA2194">
            <v>0</v>
          </cell>
          <cell r="BD2194" t="str">
            <v/>
          </cell>
          <cell r="BE2194">
            <v>1</v>
          </cell>
          <cell r="BG2194" t="str">
            <v>1100</v>
          </cell>
        </row>
        <row r="2195">
          <cell r="B2195" t="str">
            <v>G473610206100200</v>
          </cell>
          <cell r="C2195" t="str">
            <v>47.沖縄県</v>
          </cell>
          <cell r="D2195" t="str">
            <v>361</v>
          </cell>
          <cell r="E2195" t="str">
            <v>久米島町</v>
          </cell>
          <cell r="F2195" t="str">
            <v>02</v>
          </cell>
          <cell r="G2195" t="str">
            <v>特環 単独</v>
          </cell>
          <cell r="H2195" t="str">
            <v>特定環境保全公共下水道</v>
          </cell>
          <cell r="I2195" t="str">
            <v>単独</v>
          </cell>
          <cell r="J2195" t="str">
            <v>002</v>
          </cell>
          <cell r="K2195" t="str">
            <v>清水浄化センター</v>
          </cell>
          <cell r="M2195" t="str">
            <v>1</v>
          </cell>
          <cell r="N2195" t="str">
            <v>1</v>
          </cell>
          <cell r="Q2195">
            <v>36342</v>
          </cell>
          <cell r="R2195" t="str">
            <v>平成</v>
          </cell>
          <cell r="S2195">
            <v>11</v>
          </cell>
          <cell r="T2195">
            <v>7</v>
          </cell>
          <cell r="AB2195">
            <v>5580</v>
          </cell>
          <cell r="AC2195" t="str">
            <v>指定無し</v>
          </cell>
          <cell r="AF2195">
            <v>15</v>
          </cell>
          <cell r="AI2195" t="str">
            <v>清水地区3号排水路</v>
          </cell>
          <cell r="AQ2195" t="str">
            <v/>
          </cell>
          <cell r="AR2195" t="str">
            <v>土壌被覆型礫間接触法</v>
          </cell>
          <cell r="AS2195" t="str">
            <v>4736102002</v>
          </cell>
          <cell r="AT2195" t="str">
            <v/>
          </cell>
          <cell r="AU2195" t="str">
            <v>10</v>
          </cell>
          <cell r="AV2195" t="str">
            <v>10</v>
          </cell>
          <cell r="AW2195">
            <v>0</v>
          </cell>
          <cell r="AX2195">
            <v>0</v>
          </cell>
          <cell r="AY2195">
            <v>0</v>
          </cell>
          <cell r="AZ2195">
            <v>0</v>
          </cell>
          <cell r="BA2195">
            <v>0</v>
          </cell>
          <cell r="BD2195" t="str">
            <v/>
          </cell>
          <cell r="BE2195">
            <v>1</v>
          </cell>
          <cell r="BG2195" t="str">
            <v>1100</v>
          </cell>
        </row>
        <row r="2196">
          <cell r="B2196" t="str">
            <v>G473810206100100</v>
          </cell>
          <cell r="C2196" t="str">
            <v>47.沖縄県</v>
          </cell>
          <cell r="D2196" t="str">
            <v>381</v>
          </cell>
          <cell r="E2196" t="str">
            <v>竹富町</v>
          </cell>
          <cell r="F2196" t="str">
            <v>02</v>
          </cell>
          <cell r="G2196" t="str">
            <v>特環 単独</v>
          </cell>
          <cell r="H2196" t="str">
            <v>特定環境保全公共下水道</v>
          </cell>
          <cell r="I2196" t="str">
            <v>単独</v>
          </cell>
          <cell r="J2196" t="str">
            <v>001</v>
          </cell>
          <cell r="K2196" t="str">
            <v>竹富浄化センター</v>
          </cell>
          <cell r="M2196" t="str">
            <v>1</v>
          </cell>
          <cell r="N2196" t="str">
            <v>1</v>
          </cell>
          <cell r="Q2196">
            <v>35704</v>
          </cell>
          <cell r="R2196" t="str">
            <v>平成</v>
          </cell>
          <cell r="S2196">
            <v>9</v>
          </cell>
          <cell r="T2196">
            <v>10</v>
          </cell>
          <cell r="AB2196">
            <v>3820</v>
          </cell>
          <cell r="AI2196" t="str">
            <v>東シナ海</v>
          </cell>
          <cell r="AL2196" t="str">
            <v>石垣ダム</v>
          </cell>
          <cell r="AO2196" t="str">
            <v>石垣市</v>
          </cell>
          <cell r="AQ2196" t="str">
            <v/>
          </cell>
          <cell r="AR2196" t="str">
            <v>土壌被覆型礫間接触法</v>
          </cell>
          <cell r="AS2196" t="str">
            <v>4738102001</v>
          </cell>
          <cell r="AT2196" t="str">
            <v/>
          </cell>
          <cell r="AU2196" t="str">
            <v>10</v>
          </cell>
          <cell r="AV2196" t="str">
            <v>10</v>
          </cell>
          <cell r="AW2196">
            <v>0</v>
          </cell>
          <cell r="AX2196">
            <v>0</v>
          </cell>
          <cell r="AY2196">
            <v>0</v>
          </cell>
          <cell r="AZ2196">
            <v>0</v>
          </cell>
          <cell r="BA2196">
            <v>0</v>
          </cell>
          <cell r="BD2196" t="str">
            <v/>
          </cell>
          <cell r="BE2196">
            <v>1</v>
          </cell>
          <cell r="BG2196" t="str">
            <v>1100</v>
          </cell>
        </row>
      </sheetData>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3-10"/>
      <sheetName val="06-1処理場施設"/>
      <sheetName val="10-2_Code"/>
      <sheetName val="15-1汚泥処理施設(現有施設）"/>
    </sheetNames>
    <sheetDataSet>
      <sheetData sheetId="0">
        <row r="1">
          <cell r="T1">
            <v>0</v>
          </cell>
          <cell r="U1" t="str">
            <v/>
          </cell>
        </row>
        <row r="2">
          <cell r="T2">
            <v>1</v>
          </cell>
          <cell r="U2" t="str">
            <v>○</v>
          </cell>
        </row>
        <row r="3">
          <cell r="T3">
            <v>5</v>
          </cell>
          <cell r="U3" t="str">
            <v>（休止）</v>
          </cell>
        </row>
        <row r="4">
          <cell r="T4">
            <v>9</v>
          </cell>
          <cell r="U4" t="str">
            <v>（廃止）</v>
          </cell>
        </row>
        <row r="6">
          <cell r="T6" t="str">
            <v>公共</v>
          </cell>
          <cell r="U6" t="str">
            <v>A</v>
          </cell>
          <cell r="V6">
            <v>1</v>
          </cell>
        </row>
        <row r="7">
          <cell r="T7" t="str">
            <v>特環</v>
          </cell>
          <cell r="U7" t="str">
            <v>A</v>
          </cell>
          <cell r="V7">
            <v>2</v>
          </cell>
        </row>
        <row r="8">
          <cell r="T8" t="str">
            <v>特定</v>
          </cell>
          <cell r="U8" t="str">
            <v>A</v>
          </cell>
          <cell r="V8">
            <v>3</v>
          </cell>
        </row>
        <row r="9">
          <cell r="T9" t="str">
            <v>流域</v>
          </cell>
          <cell r="U9" t="str">
            <v>B</v>
          </cell>
          <cell r="V9">
            <v>4</v>
          </cell>
        </row>
        <row r="1270">
          <cell r="I1270" t="str">
            <v>01</v>
          </cell>
          <cell r="J1270" t="str">
            <v>（北海道）</v>
          </cell>
          <cell r="K1270" t="str">
            <v>道計</v>
          </cell>
        </row>
        <row r="1271">
          <cell r="I1271" t="str">
            <v>02</v>
          </cell>
          <cell r="J1271" t="str">
            <v>（青森県）</v>
          </cell>
          <cell r="K1271" t="str">
            <v>県計</v>
          </cell>
        </row>
        <row r="1272">
          <cell r="I1272" t="str">
            <v>03</v>
          </cell>
          <cell r="J1272" t="str">
            <v>（岩手県）</v>
          </cell>
          <cell r="K1272" t="str">
            <v>県計</v>
          </cell>
        </row>
        <row r="1273">
          <cell r="I1273" t="str">
            <v>04</v>
          </cell>
          <cell r="J1273" t="str">
            <v>（宮城県）</v>
          </cell>
          <cell r="K1273" t="str">
            <v>県計</v>
          </cell>
        </row>
        <row r="1274">
          <cell r="I1274" t="str">
            <v>05</v>
          </cell>
          <cell r="J1274" t="str">
            <v>（秋田県）</v>
          </cell>
          <cell r="K1274" t="str">
            <v>県計</v>
          </cell>
        </row>
        <row r="1275">
          <cell r="I1275" t="str">
            <v>06</v>
          </cell>
          <cell r="J1275" t="str">
            <v>（山形県）</v>
          </cell>
          <cell r="K1275" t="str">
            <v>県計</v>
          </cell>
        </row>
        <row r="1276">
          <cell r="I1276" t="str">
            <v>07</v>
          </cell>
          <cell r="J1276" t="str">
            <v>（福島県）</v>
          </cell>
          <cell r="K1276" t="str">
            <v>県計</v>
          </cell>
        </row>
        <row r="1277">
          <cell r="I1277" t="str">
            <v>08</v>
          </cell>
          <cell r="J1277" t="str">
            <v>（茨城県）</v>
          </cell>
          <cell r="K1277" t="str">
            <v>県計</v>
          </cell>
        </row>
        <row r="1278">
          <cell r="I1278" t="str">
            <v>09</v>
          </cell>
          <cell r="J1278" t="str">
            <v>（栃木県）</v>
          </cell>
          <cell r="K1278" t="str">
            <v>県計</v>
          </cell>
        </row>
        <row r="1279">
          <cell r="I1279" t="str">
            <v>10</v>
          </cell>
          <cell r="J1279" t="str">
            <v>（群馬県）</v>
          </cell>
          <cell r="K1279" t="str">
            <v>県計</v>
          </cell>
        </row>
        <row r="1280">
          <cell r="I1280" t="str">
            <v>11</v>
          </cell>
          <cell r="J1280" t="str">
            <v>（埼玉県）</v>
          </cell>
          <cell r="K1280" t="str">
            <v>県計</v>
          </cell>
        </row>
        <row r="1281">
          <cell r="I1281" t="str">
            <v>12</v>
          </cell>
          <cell r="J1281" t="str">
            <v>（千葉県）</v>
          </cell>
          <cell r="K1281" t="str">
            <v>県計</v>
          </cell>
        </row>
        <row r="1282">
          <cell r="I1282" t="str">
            <v>13</v>
          </cell>
          <cell r="J1282" t="str">
            <v>（東京都）</v>
          </cell>
          <cell r="K1282" t="str">
            <v>都計</v>
          </cell>
        </row>
        <row r="1283">
          <cell r="I1283" t="str">
            <v>14</v>
          </cell>
          <cell r="J1283" t="str">
            <v>（神奈川県）</v>
          </cell>
          <cell r="K1283" t="str">
            <v>県計</v>
          </cell>
        </row>
        <row r="1284">
          <cell r="I1284" t="str">
            <v>15</v>
          </cell>
          <cell r="J1284" t="str">
            <v>（新潟県）</v>
          </cell>
          <cell r="K1284" t="str">
            <v>県計</v>
          </cell>
        </row>
        <row r="1285">
          <cell r="I1285" t="str">
            <v>16</v>
          </cell>
          <cell r="J1285" t="str">
            <v>（富山県）</v>
          </cell>
          <cell r="K1285" t="str">
            <v>県計</v>
          </cell>
        </row>
        <row r="1286">
          <cell r="I1286" t="str">
            <v>17</v>
          </cell>
          <cell r="J1286" t="str">
            <v>（石川県）</v>
          </cell>
          <cell r="K1286" t="str">
            <v>県計</v>
          </cell>
        </row>
        <row r="1287">
          <cell r="I1287" t="str">
            <v>18</v>
          </cell>
          <cell r="J1287" t="str">
            <v>（福井県）</v>
          </cell>
          <cell r="K1287" t="str">
            <v>県計</v>
          </cell>
        </row>
        <row r="1288">
          <cell r="I1288" t="str">
            <v>19</v>
          </cell>
          <cell r="J1288" t="str">
            <v>（山梨県）</v>
          </cell>
          <cell r="K1288" t="str">
            <v>県計</v>
          </cell>
        </row>
        <row r="1289">
          <cell r="I1289" t="str">
            <v>20</v>
          </cell>
          <cell r="J1289" t="str">
            <v>（長野県）</v>
          </cell>
          <cell r="K1289" t="str">
            <v>県計</v>
          </cell>
        </row>
        <row r="1290">
          <cell r="I1290" t="str">
            <v>21</v>
          </cell>
          <cell r="J1290" t="str">
            <v>（岐阜県）</v>
          </cell>
          <cell r="K1290" t="str">
            <v>県計</v>
          </cell>
        </row>
        <row r="1291">
          <cell r="I1291" t="str">
            <v>22</v>
          </cell>
          <cell r="J1291" t="str">
            <v>（静岡県）</v>
          </cell>
          <cell r="K1291" t="str">
            <v>県計</v>
          </cell>
        </row>
        <row r="1292">
          <cell r="I1292" t="str">
            <v>23</v>
          </cell>
          <cell r="J1292" t="str">
            <v>（愛知県）</v>
          </cell>
          <cell r="K1292" t="str">
            <v>県計</v>
          </cell>
        </row>
        <row r="1293">
          <cell r="I1293" t="str">
            <v>24</v>
          </cell>
          <cell r="J1293" t="str">
            <v>（三重県）</v>
          </cell>
          <cell r="K1293" t="str">
            <v>県計</v>
          </cell>
        </row>
        <row r="1294">
          <cell r="I1294" t="str">
            <v>25</v>
          </cell>
          <cell r="J1294" t="str">
            <v>（滋賀県）</v>
          </cell>
          <cell r="K1294" t="str">
            <v>県計</v>
          </cell>
        </row>
        <row r="1295">
          <cell r="I1295" t="str">
            <v>26</v>
          </cell>
          <cell r="J1295" t="str">
            <v>（京都府）</v>
          </cell>
          <cell r="K1295" t="str">
            <v>府計</v>
          </cell>
        </row>
        <row r="1296">
          <cell r="I1296" t="str">
            <v>27</v>
          </cell>
          <cell r="J1296" t="str">
            <v>（大阪府）</v>
          </cell>
          <cell r="K1296" t="str">
            <v>府計</v>
          </cell>
        </row>
        <row r="1297">
          <cell r="I1297" t="str">
            <v>28</v>
          </cell>
          <cell r="J1297" t="str">
            <v>（兵庫県）</v>
          </cell>
          <cell r="K1297" t="str">
            <v>県計</v>
          </cell>
        </row>
        <row r="1298">
          <cell r="I1298" t="str">
            <v>29</v>
          </cell>
          <cell r="J1298" t="str">
            <v>（奈良県）</v>
          </cell>
          <cell r="K1298" t="str">
            <v>県計</v>
          </cell>
        </row>
        <row r="1299">
          <cell r="I1299" t="str">
            <v>30</v>
          </cell>
          <cell r="J1299" t="str">
            <v>（和歌山県）</v>
          </cell>
          <cell r="K1299" t="str">
            <v>県計</v>
          </cell>
        </row>
        <row r="1300">
          <cell r="I1300" t="str">
            <v>31</v>
          </cell>
          <cell r="J1300" t="str">
            <v>（鳥取県）</v>
          </cell>
          <cell r="K1300" t="str">
            <v>県計</v>
          </cell>
        </row>
        <row r="1301">
          <cell r="I1301" t="str">
            <v>32</v>
          </cell>
          <cell r="J1301" t="str">
            <v>（島根県）</v>
          </cell>
          <cell r="K1301" t="str">
            <v>県計</v>
          </cell>
        </row>
        <row r="1302">
          <cell r="I1302" t="str">
            <v>33</v>
          </cell>
          <cell r="J1302" t="str">
            <v>（岡山県）</v>
          </cell>
          <cell r="K1302" t="str">
            <v>県計</v>
          </cell>
        </row>
        <row r="1303">
          <cell r="I1303" t="str">
            <v>34</v>
          </cell>
          <cell r="J1303" t="str">
            <v>（広島県）</v>
          </cell>
          <cell r="K1303" t="str">
            <v>県計</v>
          </cell>
        </row>
        <row r="1304">
          <cell r="I1304" t="str">
            <v>35</v>
          </cell>
          <cell r="J1304" t="str">
            <v>（山口県）</v>
          </cell>
          <cell r="K1304" t="str">
            <v>県計</v>
          </cell>
        </row>
        <row r="1305">
          <cell r="I1305" t="str">
            <v>36</v>
          </cell>
          <cell r="J1305" t="str">
            <v>（徳島県）</v>
          </cell>
          <cell r="K1305" t="str">
            <v>県計</v>
          </cell>
        </row>
        <row r="1306">
          <cell r="I1306" t="str">
            <v>37</v>
          </cell>
          <cell r="J1306" t="str">
            <v>（香川県）</v>
          </cell>
          <cell r="K1306" t="str">
            <v>県計</v>
          </cell>
        </row>
        <row r="1307">
          <cell r="I1307" t="str">
            <v>38</v>
          </cell>
          <cell r="J1307" t="str">
            <v>（愛媛県）</v>
          </cell>
          <cell r="K1307" t="str">
            <v>県計</v>
          </cell>
        </row>
        <row r="1308">
          <cell r="I1308" t="str">
            <v>39</v>
          </cell>
          <cell r="J1308" t="str">
            <v>（高知県）</v>
          </cell>
          <cell r="K1308" t="str">
            <v>県計</v>
          </cell>
        </row>
        <row r="1309">
          <cell r="I1309" t="str">
            <v>40</v>
          </cell>
          <cell r="J1309" t="str">
            <v>（福岡県）</v>
          </cell>
          <cell r="K1309" t="str">
            <v>県計</v>
          </cell>
        </row>
        <row r="1310">
          <cell r="I1310" t="str">
            <v>41</v>
          </cell>
          <cell r="J1310" t="str">
            <v>（佐賀県）</v>
          </cell>
          <cell r="K1310" t="str">
            <v>県計</v>
          </cell>
        </row>
        <row r="1311">
          <cell r="I1311" t="str">
            <v>42</v>
          </cell>
          <cell r="J1311" t="str">
            <v>（長崎県）</v>
          </cell>
          <cell r="K1311" t="str">
            <v>県計</v>
          </cell>
        </row>
        <row r="1312">
          <cell r="I1312" t="str">
            <v>43</v>
          </cell>
          <cell r="J1312" t="str">
            <v>（熊本県）</v>
          </cell>
          <cell r="K1312" t="str">
            <v>県計</v>
          </cell>
        </row>
        <row r="1313">
          <cell r="I1313" t="str">
            <v>44</v>
          </cell>
          <cell r="J1313" t="str">
            <v>（大分県）</v>
          </cell>
          <cell r="K1313" t="str">
            <v>県計</v>
          </cell>
        </row>
        <row r="1314">
          <cell r="I1314" t="str">
            <v>45</v>
          </cell>
          <cell r="J1314" t="str">
            <v>（宮崎県）</v>
          </cell>
          <cell r="K1314" t="str">
            <v>県計</v>
          </cell>
        </row>
        <row r="1315">
          <cell r="I1315" t="str">
            <v>46</v>
          </cell>
          <cell r="J1315" t="str">
            <v>（鹿児島県）</v>
          </cell>
          <cell r="K1315" t="str">
            <v>県計</v>
          </cell>
        </row>
        <row r="1316">
          <cell r="I1316" t="str">
            <v>47</v>
          </cell>
          <cell r="J1316" t="str">
            <v>（沖縄県）</v>
          </cell>
          <cell r="K1316" t="str">
            <v>県計</v>
          </cell>
        </row>
      </sheetData>
      <sheetData sheetId="1"/>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1.1"/>
      <sheetName val="表1.2"/>
      <sheetName val="図1-1"/>
      <sheetName val="図1-2"/>
      <sheetName val="図1-3"/>
      <sheetName val="表1-5"/>
      <sheetName val="表2-1～3"/>
      <sheetName val="図2-1"/>
      <sheetName val="表2-4"/>
      <sheetName val="図2-2"/>
      <sheetName val="図2-3"/>
      <sheetName val="(汚水処理人口普及率)000122291"/>
      <sheetName val="人口・普及率"/>
      <sheetName val="01計画事項等調査"/>
      <sheetName val="01-2普及状況"/>
      <sheetName val="H21版対象団体"/>
    </sheetNames>
    <sheetDataSet>
      <sheetData sheetId="0">
        <row r="4">
          <cell r="B4" t="str">
            <v>都道府県</v>
          </cell>
          <cell r="C4">
            <v>0</v>
          </cell>
        </row>
        <row r="5">
          <cell r="B5" t="str">
            <v>政令指定都市</v>
          </cell>
          <cell r="C5">
            <v>1</v>
          </cell>
        </row>
        <row r="6">
          <cell r="B6" t="str">
            <v>市</v>
          </cell>
          <cell r="C6">
            <v>2</v>
          </cell>
        </row>
        <row r="7">
          <cell r="B7" t="str">
            <v>町</v>
          </cell>
          <cell r="C7">
            <v>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hyperlink" Target="https://www.mlit.go.jp/mizukokudo/sewerage/mizukokudo_sewerage_tk_000379.html" TargetMode="External"/><Relationship Id="rId2" Type="http://schemas.openxmlformats.org/officeDocument/2006/relationships/hyperlink" Target="https://www.env.go.jp/earth/ondanka/gel/ghg-guideline/sewer/manuals.html" TargetMode="External"/><Relationship Id="rId1" Type="http://schemas.openxmlformats.org/officeDocument/2006/relationships/hyperlink" Target="https://sewage-tech.net/" TargetMode="External"/><Relationship Id="rId5" Type="http://schemas.openxmlformats.org/officeDocument/2006/relationships/hyperlink" Target="https://www.jiwet.or.jp/publicity/publication/manuals" TargetMode="External"/><Relationship Id="rId4" Type="http://schemas.openxmlformats.org/officeDocument/2006/relationships/hyperlink" Target="https://www.jiwet.or.jp/publicity/publication/manuals"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21.bin"/><Relationship Id="rId1" Type="http://schemas.openxmlformats.org/officeDocument/2006/relationships/hyperlink" Target="https://www.mlit.go.jp/mizukokudo/sewerage/mizukokudo_sewerage_tk_000364.html" TargetMode="Externa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5.bin"/><Relationship Id="rId1" Type="http://schemas.openxmlformats.org/officeDocument/2006/relationships/hyperlink" Target="http://www.nilim.go.jp/lab/ecg/bdash/h30_ohara.htm" TargetMode="Externa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www.nedo.go.jp/library/nissharyou.html"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s://appraw1.infoc.nedo.go.jp/nedo/index.html"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8ADD34-4E48-4BBA-96C5-846A8037FF84}">
  <dimension ref="B1:F10"/>
  <sheetViews>
    <sheetView showGridLines="0" tabSelected="1" workbookViewId="0"/>
  </sheetViews>
  <sheetFormatPr defaultRowHeight="18" x14ac:dyDescent="0.45"/>
  <cols>
    <col min="1" max="1" width="1" customWidth="1"/>
    <col min="2" max="2" width="56.3984375" customWidth="1"/>
    <col min="3" max="3" width="1.3984375" customWidth="1"/>
    <col min="4" max="4" width="4.8984375" customWidth="1"/>
    <col min="5" max="6" width="14" customWidth="1"/>
  </cols>
  <sheetData>
    <row r="1" spans="2:6" ht="36" x14ac:dyDescent="0.45">
      <c r="B1" s="406" t="s">
        <v>1479</v>
      </c>
      <c r="C1" s="406"/>
      <c r="D1" s="410"/>
      <c r="E1" s="410"/>
      <c r="F1" s="410"/>
    </row>
    <row r="2" spans="2:6" x14ac:dyDescent="0.45">
      <c r="B2" s="406" t="s">
        <v>1482</v>
      </c>
      <c r="C2" s="406"/>
      <c r="D2" s="410"/>
      <c r="E2" s="410"/>
      <c r="F2" s="410"/>
    </row>
    <row r="3" spans="2:6" x14ac:dyDescent="0.45">
      <c r="B3" s="407"/>
      <c r="C3" s="407"/>
      <c r="D3" s="411"/>
      <c r="E3" s="411"/>
      <c r="F3" s="411"/>
    </row>
    <row r="4" spans="2:6" ht="54" x14ac:dyDescent="0.45">
      <c r="B4" s="407" t="s">
        <v>1473</v>
      </c>
      <c r="C4" s="407"/>
      <c r="D4" s="411"/>
      <c r="E4" s="411"/>
      <c r="F4" s="411"/>
    </row>
    <row r="5" spans="2:6" x14ac:dyDescent="0.45">
      <c r="B5" s="407"/>
      <c r="C5" s="407"/>
      <c r="D5" s="411"/>
      <c r="E5" s="411"/>
      <c r="F5" s="411"/>
    </row>
    <row r="6" spans="2:6" x14ac:dyDescent="0.45">
      <c r="B6" s="406" t="s">
        <v>1477</v>
      </c>
      <c r="C6" s="406"/>
      <c r="D6" s="410"/>
      <c r="E6" s="410" t="s">
        <v>1474</v>
      </c>
      <c r="F6" s="410" t="s">
        <v>1475</v>
      </c>
    </row>
    <row r="7" spans="2:6" ht="18.600000000000001" thickBot="1" x14ac:dyDescent="0.5">
      <c r="B7" s="407"/>
      <c r="C7" s="407"/>
      <c r="D7" s="411"/>
      <c r="E7" s="411"/>
      <c r="F7" s="411"/>
    </row>
    <row r="8" spans="2:6" ht="72.599999999999994" thickBot="1" x14ac:dyDescent="0.5">
      <c r="B8" s="408" t="s">
        <v>1478</v>
      </c>
      <c r="C8" s="409"/>
      <c r="D8" s="412"/>
      <c r="E8" s="412">
        <v>522</v>
      </c>
      <c r="F8" s="413" t="s">
        <v>1476</v>
      </c>
    </row>
    <row r="9" spans="2:6" x14ac:dyDescent="0.45">
      <c r="B9" s="407"/>
      <c r="C9" s="407"/>
      <c r="D9" s="411"/>
      <c r="E9" s="411"/>
      <c r="F9" s="411"/>
    </row>
    <row r="10" spans="2:6" x14ac:dyDescent="0.45">
      <c r="B10" s="407"/>
      <c r="C10" s="407"/>
      <c r="D10" s="411"/>
      <c r="E10" s="411"/>
      <c r="F10" s="411"/>
    </row>
  </sheetData>
  <phoneticPr fontId="2"/>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7A394-C276-4DB3-922F-5FE889D5FF36}">
  <sheetPr>
    <tabColor theme="5" tint="-0.499984740745262"/>
  </sheetPr>
  <dimension ref="B2:K20"/>
  <sheetViews>
    <sheetView showGridLines="0" zoomScale="70" zoomScaleNormal="70" workbookViewId="0"/>
  </sheetViews>
  <sheetFormatPr defaultRowHeight="18" x14ac:dyDescent="0.45"/>
  <cols>
    <col min="2" max="2" width="19.19921875" customWidth="1"/>
    <col min="3" max="3" width="10.3984375" customWidth="1"/>
    <col min="4" max="4" width="40.09765625" customWidth="1"/>
    <col min="5" max="5" width="84.5" customWidth="1"/>
    <col min="6" max="6" width="99.19921875" bestFit="1" customWidth="1"/>
    <col min="7" max="7" width="42.09765625" bestFit="1" customWidth="1"/>
    <col min="8" max="8" width="25.5" bestFit="1" customWidth="1"/>
    <col min="9" max="9" width="19.19921875" bestFit="1" customWidth="1"/>
    <col min="10" max="10" width="25.5" bestFit="1" customWidth="1"/>
    <col min="11" max="11" width="20.8984375" customWidth="1"/>
  </cols>
  <sheetData>
    <row r="2" spans="2:11" x14ac:dyDescent="0.45">
      <c r="B2" s="3" t="s">
        <v>183</v>
      </c>
    </row>
    <row r="3" spans="2:11" x14ac:dyDescent="0.45">
      <c r="B3" s="38" t="s">
        <v>104</v>
      </c>
      <c r="C3" s="38"/>
      <c r="D3" s="38"/>
      <c r="E3" s="38"/>
      <c r="F3" s="38"/>
      <c r="G3" s="38"/>
      <c r="H3" s="38"/>
      <c r="I3" s="37"/>
    </row>
    <row r="4" spans="2:11" x14ac:dyDescent="0.45">
      <c r="B4" s="38" t="s">
        <v>140</v>
      </c>
      <c r="C4" s="37"/>
      <c r="D4" s="37"/>
      <c r="E4" s="37"/>
      <c r="F4" s="37"/>
      <c r="G4" s="37"/>
      <c r="H4" s="37"/>
      <c r="I4" s="37"/>
    </row>
    <row r="6" spans="2:11" ht="54" x14ac:dyDescent="0.45">
      <c r="B6" s="516" t="s">
        <v>103</v>
      </c>
      <c r="C6" s="519" t="s">
        <v>105</v>
      </c>
      <c r="D6" s="16" t="s">
        <v>82</v>
      </c>
      <c r="E6" s="518" t="s">
        <v>98</v>
      </c>
      <c r="F6" s="518" t="s">
        <v>1156</v>
      </c>
      <c r="G6" s="518" t="s">
        <v>486</v>
      </c>
      <c r="H6" s="516" t="s">
        <v>503</v>
      </c>
      <c r="I6" s="17" t="s">
        <v>100</v>
      </c>
      <c r="J6" s="17" t="s">
        <v>1184</v>
      </c>
      <c r="K6" s="17" t="s">
        <v>1185</v>
      </c>
    </row>
    <row r="7" spans="2:11" x14ac:dyDescent="0.45">
      <c r="B7" s="517"/>
      <c r="C7" s="520"/>
      <c r="D7" s="16" t="s">
        <v>149</v>
      </c>
      <c r="E7" s="517"/>
      <c r="F7" s="517"/>
      <c r="G7" s="517"/>
      <c r="H7" s="517"/>
      <c r="I7" s="16" t="s">
        <v>21</v>
      </c>
      <c r="J7" s="16" t="s">
        <v>21</v>
      </c>
      <c r="K7" s="16" t="s">
        <v>89</v>
      </c>
    </row>
    <row r="8" spans="2:11" x14ac:dyDescent="0.45">
      <c r="B8" s="16"/>
      <c r="C8" s="36" t="s">
        <v>101</v>
      </c>
      <c r="D8" s="16" t="s">
        <v>150</v>
      </c>
      <c r="E8" s="10" t="s">
        <v>148</v>
      </c>
      <c r="F8" s="10" t="s">
        <v>1170</v>
      </c>
      <c r="G8" s="10" t="s">
        <v>504</v>
      </c>
      <c r="H8" s="10" t="s">
        <v>508</v>
      </c>
      <c r="I8" s="34" t="str">
        <f>IF($B8="○",汚泥処理対策No.1!D16,"")</f>
        <v/>
      </c>
      <c r="J8" s="34" t="str">
        <f>IF($B8="○",'2030年目標設定'!$C$45,"")</f>
        <v/>
      </c>
      <c r="K8" s="35" t="str">
        <f>IF(I8&lt;&gt;"",I8/J8*100,"")</f>
        <v/>
      </c>
    </row>
    <row r="9" spans="2:11" x14ac:dyDescent="0.45">
      <c r="B9" s="16"/>
      <c r="C9" s="36" t="s">
        <v>106</v>
      </c>
      <c r="D9" s="16" t="s">
        <v>164</v>
      </c>
      <c r="E9" s="1" t="s">
        <v>181</v>
      </c>
      <c r="F9" s="1" t="s">
        <v>1171</v>
      </c>
      <c r="G9" s="1" t="s">
        <v>505</v>
      </c>
      <c r="H9" s="10" t="s">
        <v>509</v>
      </c>
      <c r="I9" s="34" t="str">
        <f>IF($B9="○",汚泥処理対策No.2!D15,"")</f>
        <v/>
      </c>
      <c r="J9" s="34" t="str">
        <f>IF($B9="○",'2030年目標設定'!$C$45,"")</f>
        <v/>
      </c>
      <c r="K9" s="35" t="str">
        <f t="shared" ref="K9:K16" si="0">IF(I9&lt;&gt;"",I9/J9*100,"")</f>
        <v/>
      </c>
    </row>
    <row r="10" spans="2:11" x14ac:dyDescent="0.45">
      <c r="B10" s="16"/>
      <c r="C10" s="36" t="s">
        <v>139</v>
      </c>
      <c r="D10" s="16" t="s">
        <v>196</v>
      </c>
      <c r="E10" s="1" t="s">
        <v>195</v>
      </c>
      <c r="F10" s="10" t="s">
        <v>1172</v>
      </c>
      <c r="G10" s="1" t="s">
        <v>506</v>
      </c>
      <c r="H10" s="10" t="s">
        <v>507</v>
      </c>
      <c r="I10" s="34" t="str">
        <f>IF($B10="○",汚泥処理対策No.3!D16,"")</f>
        <v/>
      </c>
      <c r="J10" s="34" t="str">
        <f>IF($B10="○",'2030年目標設定'!$C$45,"")</f>
        <v/>
      </c>
      <c r="K10" s="35" t="str">
        <f t="shared" si="0"/>
        <v/>
      </c>
    </row>
    <row r="11" spans="2:11" x14ac:dyDescent="0.45">
      <c r="B11" s="16"/>
      <c r="C11" s="36" t="s">
        <v>516</v>
      </c>
      <c r="D11" s="16" t="s">
        <v>752</v>
      </c>
      <c r="E11" s="1" t="s">
        <v>751</v>
      </c>
      <c r="F11" s="10" t="s">
        <v>1173</v>
      </c>
      <c r="G11" s="1" t="s">
        <v>753</v>
      </c>
      <c r="H11" s="10" t="s">
        <v>757</v>
      </c>
      <c r="I11" s="34" t="str">
        <f>IF($B11="○",汚泥処理対策No.4!D10,"")</f>
        <v/>
      </c>
      <c r="J11" s="34" t="str">
        <f>IF($B11="○",'2030年目標設定'!$C$45,"")</f>
        <v/>
      </c>
      <c r="K11" s="35" t="str">
        <f t="shared" si="0"/>
        <v/>
      </c>
    </row>
    <row r="12" spans="2:11" ht="36" x14ac:dyDescent="0.45">
      <c r="B12" s="16"/>
      <c r="C12" s="36" t="s">
        <v>198</v>
      </c>
      <c r="D12" s="16" t="s">
        <v>515</v>
      </c>
      <c r="E12" s="1" t="s">
        <v>1491</v>
      </c>
      <c r="F12" s="2" t="s">
        <v>1161</v>
      </c>
      <c r="G12" s="1" t="s">
        <v>514</v>
      </c>
      <c r="H12" s="1" t="s">
        <v>498</v>
      </c>
      <c r="I12" s="34" t="str">
        <f>IF($B12="○",汚泥処理対策No.5!D149,"")</f>
        <v/>
      </c>
      <c r="J12" s="34" t="str">
        <f>IF($B12="○",'2030年目標設定'!$C$45,"")</f>
        <v/>
      </c>
      <c r="K12" s="35" t="str">
        <f t="shared" si="0"/>
        <v/>
      </c>
    </row>
    <row r="13" spans="2:11" ht="108" x14ac:dyDescent="0.45">
      <c r="B13" s="16"/>
      <c r="C13" s="36" t="s">
        <v>204</v>
      </c>
      <c r="D13" s="16" t="s">
        <v>515</v>
      </c>
      <c r="E13" s="1" t="s">
        <v>761</v>
      </c>
      <c r="F13" s="2" t="s">
        <v>1162</v>
      </c>
      <c r="G13" s="1" t="s">
        <v>514</v>
      </c>
      <c r="H13" s="1" t="s">
        <v>498</v>
      </c>
      <c r="I13" s="34" t="str">
        <f>IF($B13="○",汚泥処理対策No.6!D172,"")</f>
        <v/>
      </c>
      <c r="J13" s="34" t="str">
        <f>IF($B13="○",'2030年目標設定'!$C$45,"")</f>
        <v/>
      </c>
      <c r="K13" s="35" t="str">
        <f t="shared" si="0"/>
        <v/>
      </c>
    </row>
    <row r="14" spans="2:11" ht="72" x14ac:dyDescent="0.45">
      <c r="B14" s="16"/>
      <c r="C14" s="36" t="s">
        <v>208</v>
      </c>
      <c r="D14" s="16" t="s">
        <v>515</v>
      </c>
      <c r="E14" s="1" t="s">
        <v>762</v>
      </c>
      <c r="F14" s="2" t="s">
        <v>1163</v>
      </c>
      <c r="G14" s="1" t="s">
        <v>881</v>
      </c>
      <c r="H14" s="1" t="s">
        <v>498</v>
      </c>
      <c r="I14" s="34" t="str">
        <f>IF($B14="○",汚泥処理対策No.7!E128,"")</f>
        <v/>
      </c>
      <c r="J14" s="34" t="str">
        <f>IF($B14="○",'2030年目標設定'!$C$45,"")</f>
        <v/>
      </c>
      <c r="K14" s="35" t="str">
        <f t="shared" si="0"/>
        <v/>
      </c>
    </row>
    <row r="15" spans="2:11" ht="54" x14ac:dyDescent="0.45">
      <c r="B15" s="16"/>
      <c r="C15" s="36" t="s">
        <v>217</v>
      </c>
      <c r="D15" s="16" t="s">
        <v>882</v>
      </c>
      <c r="E15" s="1" t="s">
        <v>883</v>
      </c>
      <c r="F15" s="2" t="s">
        <v>1174</v>
      </c>
      <c r="G15" s="1" t="s">
        <v>1139</v>
      </c>
      <c r="H15" s="1" t="s">
        <v>498</v>
      </c>
      <c r="I15" s="34" t="str">
        <f>IF($B15="○",汚泥処理対策No.8!D15,"")</f>
        <v/>
      </c>
      <c r="J15" s="34" t="str">
        <f>IF($B15="○",'2030年目標設定'!$C$45,"")</f>
        <v/>
      </c>
      <c r="K15" s="35" t="str">
        <f t="shared" si="0"/>
        <v/>
      </c>
    </row>
    <row r="16" spans="2:11" ht="36" x14ac:dyDescent="0.45">
      <c r="B16" s="16"/>
      <c r="C16" s="36" t="s">
        <v>227</v>
      </c>
      <c r="D16" s="16" t="s">
        <v>1141</v>
      </c>
      <c r="E16" s="1" t="s">
        <v>1140</v>
      </c>
      <c r="F16" s="2" t="s">
        <v>1164</v>
      </c>
      <c r="G16" s="1" t="s">
        <v>1149</v>
      </c>
      <c r="H16" s="1" t="s">
        <v>498</v>
      </c>
      <c r="I16" s="34" t="str">
        <f>IF($B16="○",汚泥処理対策No.9!D12,"")</f>
        <v/>
      </c>
      <c r="J16" s="34" t="str">
        <f>IF($B16="○",'2030年目標設定'!$C$45,"")</f>
        <v/>
      </c>
      <c r="K16" s="35" t="str">
        <f t="shared" si="0"/>
        <v/>
      </c>
    </row>
    <row r="17" spans="2:11" x14ac:dyDescent="0.45">
      <c r="B17" s="521" t="s">
        <v>1186</v>
      </c>
      <c r="C17" s="521"/>
      <c r="D17" s="521"/>
      <c r="E17" s="521"/>
      <c r="F17" s="521"/>
      <c r="G17" s="521"/>
      <c r="H17" s="521"/>
      <c r="I17" s="34">
        <f>SUM(I8:I16)</f>
        <v>0</v>
      </c>
      <c r="J17" s="34" t="str">
        <f>IF($I17&gt;0,'2030年目標設定'!$C$45,"")</f>
        <v/>
      </c>
      <c r="K17" s="35" t="e">
        <f>IF(I17&lt;&gt;"",I17/J17*100,"")</f>
        <v>#VALUE!</v>
      </c>
    </row>
    <row r="18" spans="2:11" x14ac:dyDescent="0.45">
      <c r="B18" s="31" t="s">
        <v>499</v>
      </c>
    </row>
    <row r="19" spans="2:11" x14ac:dyDescent="0.45">
      <c r="B19" s="31" t="s">
        <v>501</v>
      </c>
    </row>
    <row r="20" spans="2:11" x14ac:dyDescent="0.45">
      <c r="B20" s="4" t="s">
        <v>500</v>
      </c>
    </row>
  </sheetData>
  <mergeCells count="7">
    <mergeCell ref="B17:H17"/>
    <mergeCell ref="G6:G7"/>
    <mergeCell ref="H6:H7"/>
    <mergeCell ref="B6:B7"/>
    <mergeCell ref="C6:C7"/>
    <mergeCell ref="E6:E7"/>
    <mergeCell ref="F6:F7"/>
  </mergeCells>
  <phoneticPr fontId="2"/>
  <hyperlinks>
    <hyperlink ref="C8" location="汚泥処理対策No.1!A1" display="対策No.1" xr:uid="{A230BBD1-3D3F-4994-A483-90CD4EF1A39B}"/>
    <hyperlink ref="C9" location="汚泥処理対策No.2!A1" display="対策No.2" xr:uid="{298053A3-F16D-4C40-8AD0-D4F978F3DF8F}"/>
    <hyperlink ref="C10" location="汚泥処理対策No.3!A1" display="対策No.3" xr:uid="{DF02442B-D962-445D-B2EB-29CF0B1BAAD2}"/>
    <hyperlink ref="C12" location="汚泥処理対策No.5!A1" display="対策No.5" xr:uid="{1A705982-D063-4760-BF9D-257ACA6E73AA}"/>
    <hyperlink ref="C11" location="汚泥処理対策No.4!A1" display="対策No.4" xr:uid="{1D55C1AE-9219-4D1B-8D1A-1D2D115653DA}"/>
    <hyperlink ref="C13" location="汚泥処理対策No.6!A1" display="対策No.6" xr:uid="{3290EFB4-F8C4-4AE6-A5DE-9642CA649920}"/>
    <hyperlink ref="C14" location="汚泥処理対策No.7!A1" display="対策No.7" xr:uid="{C4F17D92-1FC3-40D2-921D-83E9BF826E91}"/>
    <hyperlink ref="C15" location="汚泥処理対策No.8!A1" display="対策No.8" xr:uid="{681B1899-D46D-4F8C-B58E-3CB5B00FC177}"/>
    <hyperlink ref="C16" location="汚泥処理対策No.9!A1" display="対策No.9" xr:uid="{8EBEE59E-0FF2-42F4-B9B4-C410723478DD}"/>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0C2D8A-26A9-4221-ACCC-E7CA2D6D865B}">
  <sheetPr>
    <tabColor rgb="FFFFC000"/>
  </sheetPr>
  <dimension ref="B2:H12"/>
  <sheetViews>
    <sheetView showGridLines="0" zoomScale="70" zoomScaleNormal="70" workbookViewId="0"/>
  </sheetViews>
  <sheetFormatPr defaultRowHeight="18" x14ac:dyDescent="0.45"/>
  <cols>
    <col min="2" max="2" width="19.19921875" customWidth="1"/>
    <col min="3" max="3" width="10.3984375" customWidth="1"/>
    <col min="4" max="4" width="11" bestFit="1" customWidth="1"/>
    <col min="5" max="5" width="58.5" customWidth="1"/>
    <col min="6" max="6" width="19.19921875" bestFit="1" customWidth="1"/>
    <col min="7" max="7" width="25.5" bestFit="1" customWidth="1"/>
    <col min="8" max="8" width="20.8984375" customWidth="1"/>
  </cols>
  <sheetData>
    <row r="2" spans="2:8" x14ac:dyDescent="0.45">
      <c r="B2" s="3" t="s">
        <v>1288</v>
      </c>
    </row>
    <row r="3" spans="2:8" x14ac:dyDescent="0.45">
      <c r="B3" s="38" t="s">
        <v>104</v>
      </c>
      <c r="C3" s="38"/>
      <c r="D3" s="38"/>
      <c r="E3" s="38"/>
      <c r="F3" s="37"/>
    </row>
    <row r="4" spans="2:8" x14ac:dyDescent="0.45">
      <c r="B4" s="37" t="s">
        <v>1289</v>
      </c>
      <c r="C4" s="37"/>
      <c r="D4" s="37"/>
      <c r="E4" s="37"/>
      <c r="F4" s="37"/>
    </row>
    <row r="6" spans="2:8" ht="36" x14ac:dyDescent="0.45">
      <c r="B6" s="516" t="s">
        <v>103</v>
      </c>
      <c r="C6" s="339" t="s">
        <v>105</v>
      </c>
      <c r="D6" s="13" t="s">
        <v>82</v>
      </c>
      <c r="E6" s="13" t="s">
        <v>98</v>
      </c>
      <c r="F6" s="17" t="s">
        <v>100</v>
      </c>
      <c r="G6" s="17" t="s">
        <v>1290</v>
      </c>
      <c r="H6" s="17" t="s">
        <v>1291</v>
      </c>
    </row>
    <row r="7" spans="2:8" x14ac:dyDescent="0.45">
      <c r="B7" s="522"/>
      <c r="C7" s="344"/>
      <c r="D7" s="6"/>
      <c r="E7" s="6"/>
      <c r="F7" s="16" t="s">
        <v>21</v>
      </c>
      <c r="G7" s="16" t="s">
        <v>21</v>
      </c>
      <c r="H7" s="16" t="s">
        <v>89</v>
      </c>
    </row>
    <row r="8" spans="2:8" x14ac:dyDescent="0.45">
      <c r="B8" s="16"/>
      <c r="C8" s="36" t="s">
        <v>101</v>
      </c>
      <c r="D8" s="16" t="s">
        <v>1292</v>
      </c>
      <c r="E8" s="10" t="s">
        <v>1293</v>
      </c>
      <c r="F8" s="39" t="str">
        <f>IF($B8="○",再エネ対策No.1!C19,"")</f>
        <v/>
      </c>
      <c r="G8" s="34" t="str">
        <f>IF($B8="○",'2030年目標設定'!$C$45,"")</f>
        <v/>
      </c>
      <c r="H8" s="35" t="str">
        <f>IF(F8&lt;&gt;"",F8/G8*100,"")</f>
        <v/>
      </c>
    </row>
    <row r="9" spans="2:8" x14ac:dyDescent="0.45">
      <c r="B9" s="16"/>
      <c r="C9" s="36" t="s">
        <v>106</v>
      </c>
      <c r="D9" s="16" t="s">
        <v>1292</v>
      </c>
      <c r="E9" s="1" t="s">
        <v>1294</v>
      </c>
      <c r="F9" s="39" t="str">
        <f>IF($B9="○",再エネ対策No.2!D17,"")</f>
        <v/>
      </c>
      <c r="G9" s="34" t="str">
        <f>IF($B9="○",'2030年目標設定'!$C$45,"")</f>
        <v/>
      </c>
      <c r="H9" s="35" t="str">
        <f t="shared" ref="H9:H10" si="0">IF(F9&lt;&gt;"",F9/G9*100,"")</f>
        <v/>
      </c>
    </row>
    <row r="10" spans="2:8" x14ac:dyDescent="0.45">
      <c r="B10" s="521" t="s">
        <v>1295</v>
      </c>
      <c r="C10" s="521"/>
      <c r="D10" s="521"/>
      <c r="E10" s="521"/>
      <c r="F10" s="39">
        <f>SUM(F8:F9)</f>
        <v>0</v>
      </c>
      <c r="G10" s="34" t="str">
        <f>IF($F10&gt;0,'2030年目標設定'!$C$45,"")</f>
        <v/>
      </c>
      <c r="H10" s="35" t="e">
        <f t="shared" si="0"/>
        <v>#VALUE!</v>
      </c>
    </row>
    <row r="12" spans="2:8" x14ac:dyDescent="0.45">
      <c r="B12" s="4" t="s">
        <v>479</v>
      </c>
    </row>
  </sheetData>
  <mergeCells count="2">
    <mergeCell ref="B6:B7"/>
    <mergeCell ref="B10:E10"/>
  </mergeCells>
  <phoneticPr fontId="2"/>
  <hyperlinks>
    <hyperlink ref="C8" location="再エネ対策NO.1!A1" display="対策No.1" xr:uid="{46E4A1DD-DE98-44E7-9B9D-84B7DEF126B2}"/>
    <hyperlink ref="C9" location="再エネ対策NO.2!A1" display="対策No.2" xr:uid="{6050C172-D66A-400C-97F8-E0474C3502F4}"/>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861DC0-1F63-4A0C-85E1-206CD5C1A14E}">
  <sheetPr>
    <tabColor rgb="FF002060"/>
  </sheetPr>
  <dimension ref="B2:F53"/>
  <sheetViews>
    <sheetView showGridLines="0" zoomScale="70" zoomScaleNormal="70" workbookViewId="0"/>
  </sheetViews>
  <sheetFormatPr defaultRowHeight="18" x14ac:dyDescent="0.45"/>
  <cols>
    <col min="2" max="2" width="19.09765625" customWidth="1"/>
    <col min="3" max="3" width="31.3984375" customWidth="1"/>
    <col min="4" max="4" width="17.19921875" bestFit="1" customWidth="1"/>
    <col min="5" max="5" width="25.5" bestFit="1" customWidth="1"/>
    <col min="6" max="6" width="22.19921875" customWidth="1"/>
    <col min="7" max="7" width="20.8984375" customWidth="1"/>
  </cols>
  <sheetData>
    <row r="2" spans="2:6" x14ac:dyDescent="0.45">
      <c r="B2" s="3" t="s">
        <v>1180</v>
      </c>
    </row>
    <row r="3" spans="2:6" x14ac:dyDescent="0.45">
      <c r="B3" s="38" t="s">
        <v>1181</v>
      </c>
      <c r="C3" s="38"/>
      <c r="D3" s="38"/>
      <c r="E3" s="38"/>
      <c r="F3" s="37"/>
    </row>
    <row r="4" spans="2:6" x14ac:dyDescent="0.45">
      <c r="B4" s="38" t="s">
        <v>1269</v>
      </c>
      <c r="C4" s="38"/>
      <c r="D4" s="38"/>
      <c r="E4" s="38"/>
      <c r="F4" s="37"/>
    </row>
    <row r="5" spans="2:6" ht="19.5" customHeight="1" x14ac:dyDescent="0.45"/>
    <row r="6" spans="2:6" ht="36" x14ac:dyDescent="0.45">
      <c r="B6" s="519" t="s">
        <v>105</v>
      </c>
      <c r="C6" s="518" t="s">
        <v>98</v>
      </c>
      <c r="D6" s="17" t="s">
        <v>100</v>
      </c>
      <c r="E6" s="17" t="s">
        <v>1184</v>
      </c>
      <c r="F6" s="17" t="s">
        <v>1185</v>
      </c>
    </row>
    <row r="7" spans="2:6" x14ac:dyDescent="0.45">
      <c r="B7" s="523"/>
      <c r="C7" s="517"/>
      <c r="D7" s="16" t="s">
        <v>21</v>
      </c>
      <c r="E7" s="16" t="s">
        <v>21</v>
      </c>
      <c r="F7" s="16" t="s">
        <v>89</v>
      </c>
    </row>
    <row r="8" spans="2:6" x14ac:dyDescent="0.45">
      <c r="B8" s="16" t="s">
        <v>101</v>
      </c>
      <c r="C8" s="10"/>
      <c r="D8" s="39"/>
      <c r="E8" s="34" t="str">
        <f>IF(C8&lt;&gt;"",'2030年目標設定'!$C$45,"")</f>
        <v/>
      </c>
      <c r="F8" s="35" t="str">
        <f>IF(D8&lt;&gt;"",D8/E8*100,"")</f>
        <v/>
      </c>
    </row>
    <row r="9" spans="2:6" x14ac:dyDescent="0.45">
      <c r="B9" s="16" t="s">
        <v>106</v>
      </c>
      <c r="C9" s="10"/>
      <c r="D9" s="39"/>
      <c r="E9" s="34" t="str">
        <f>IF(C9&lt;&gt;"",'2030年目標設定'!$C$45,"")</f>
        <v/>
      </c>
      <c r="F9" s="35" t="str">
        <f t="shared" ref="F9:F28" si="0">IF(D9&lt;&gt;"",D9/E9*100,"")</f>
        <v/>
      </c>
    </row>
    <row r="10" spans="2:6" x14ac:dyDescent="0.45">
      <c r="B10" s="16" t="s">
        <v>139</v>
      </c>
      <c r="C10" s="10"/>
      <c r="D10" s="39"/>
      <c r="E10" s="34" t="str">
        <f>IF(C10&lt;&gt;"",'2030年目標設定'!$C$45,"")</f>
        <v/>
      </c>
      <c r="F10" s="35" t="str">
        <f t="shared" si="0"/>
        <v/>
      </c>
    </row>
    <row r="11" spans="2:6" x14ac:dyDescent="0.45">
      <c r="B11" s="16" t="s">
        <v>516</v>
      </c>
      <c r="C11" s="10"/>
      <c r="D11" s="39"/>
      <c r="E11" s="34" t="str">
        <f>IF(C11&lt;&gt;"",'2030年目標設定'!$C$45,"")</f>
        <v/>
      </c>
      <c r="F11" s="35" t="str">
        <f t="shared" si="0"/>
        <v/>
      </c>
    </row>
    <row r="12" spans="2:6" x14ac:dyDescent="0.45">
      <c r="B12" s="16" t="s">
        <v>198</v>
      </c>
      <c r="C12" s="10"/>
      <c r="D12" s="39"/>
      <c r="E12" s="34" t="str">
        <f>IF(C12&lt;&gt;"",'2030年目標設定'!$C$45,"")</f>
        <v/>
      </c>
      <c r="F12" s="35" t="str">
        <f t="shared" si="0"/>
        <v/>
      </c>
    </row>
    <row r="13" spans="2:6" x14ac:dyDescent="0.45">
      <c r="B13" s="16" t="s">
        <v>204</v>
      </c>
      <c r="C13" s="10"/>
      <c r="D13" s="39"/>
      <c r="E13" s="34" t="str">
        <f>IF(C13&lt;&gt;"",'2030年目標設定'!$C$45,"")</f>
        <v/>
      </c>
      <c r="F13" s="35" t="str">
        <f t="shared" si="0"/>
        <v/>
      </c>
    </row>
    <row r="14" spans="2:6" x14ac:dyDescent="0.45">
      <c r="B14" s="16" t="s">
        <v>208</v>
      </c>
      <c r="C14" s="10"/>
      <c r="D14" s="39"/>
      <c r="E14" s="34" t="str">
        <f>IF(C14&lt;&gt;"",'2030年目標設定'!$C$45,"")</f>
        <v/>
      </c>
      <c r="F14" s="35" t="str">
        <f t="shared" si="0"/>
        <v/>
      </c>
    </row>
    <row r="15" spans="2:6" x14ac:dyDescent="0.45">
      <c r="B15" s="16" t="s">
        <v>217</v>
      </c>
      <c r="C15" s="10"/>
      <c r="D15" s="39"/>
      <c r="E15" s="34" t="str">
        <f>IF(C15&lt;&gt;"",'2030年目標設定'!$C$45,"")</f>
        <v/>
      </c>
      <c r="F15" s="35" t="str">
        <f t="shared" si="0"/>
        <v/>
      </c>
    </row>
    <row r="16" spans="2:6" x14ac:dyDescent="0.45">
      <c r="B16" s="16" t="s">
        <v>227</v>
      </c>
      <c r="C16" s="10"/>
      <c r="D16" s="39"/>
      <c r="E16" s="34" t="str">
        <f>IF(C16&lt;&gt;"",'2030年目標設定'!$C$45,"")</f>
        <v/>
      </c>
      <c r="F16" s="35" t="str">
        <f t="shared" si="0"/>
        <v/>
      </c>
    </row>
    <row r="17" spans="2:6" x14ac:dyDescent="0.45">
      <c r="B17" s="16" t="s">
        <v>1182</v>
      </c>
      <c r="C17" s="10"/>
      <c r="D17" s="39"/>
      <c r="E17" s="34" t="str">
        <f>IF(C17&lt;&gt;"",'2030年目標設定'!$C$45,"")</f>
        <v/>
      </c>
      <c r="F17" s="35" t="str">
        <f t="shared" si="0"/>
        <v/>
      </c>
    </row>
    <row r="18" spans="2:6" x14ac:dyDescent="0.45">
      <c r="B18" s="16" t="s">
        <v>1438</v>
      </c>
      <c r="C18" s="10"/>
      <c r="D18" s="314"/>
      <c r="E18" s="34" t="str">
        <f>IF(C18&lt;&gt;"",'2030年目標設定'!$C$45,"")</f>
        <v/>
      </c>
      <c r="F18" s="35" t="str">
        <f t="shared" si="0"/>
        <v/>
      </c>
    </row>
    <row r="19" spans="2:6" x14ac:dyDescent="0.45">
      <c r="B19" s="16" t="s">
        <v>1439</v>
      </c>
      <c r="C19" s="10"/>
      <c r="D19" s="314"/>
      <c r="E19" s="34" t="str">
        <f>IF(C19&lt;&gt;"",'2030年目標設定'!$C$45,"")</f>
        <v/>
      </c>
      <c r="F19" s="35" t="str">
        <f t="shared" si="0"/>
        <v/>
      </c>
    </row>
    <row r="20" spans="2:6" x14ac:dyDescent="0.45">
      <c r="B20" s="16" t="s">
        <v>1440</v>
      </c>
      <c r="C20" s="10"/>
      <c r="D20" s="314"/>
      <c r="E20" s="34" t="str">
        <f>IF(C20&lt;&gt;"",'2030年目標設定'!$C$45,"")</f>
        <v/>
      </c>
      <c r="F20" s="35" t="str">
        <f t="shared" si="0"/>
        <v/>
      </c>
    </row>
    <row r="21" spans="2:6" x14ac:dyDescent="0.45">
      <c r="B21" s="16" t="s">
        <v>1441</v>
      </c>
      <c r="C21" s="10"/>
      <c r="D21" s="314"/>
      <c r="E21" s="34" t="str">
        <f>IF(C21&lt;&gt;"",'2030年目標設定'!$C$45,"")</f>
        <v/>
      </c>
      <c r="F21" s="35" t="str">
        <f t="shared" si="0"/>
        <v/>
      </c>
    </row>
    <row r="22" spans="2:6" x14ac:dyDescent="0.45">
      <c r="B22" s="16" t="s">
        <v>1442</v>
      </c>
      <c r="C22" s="10"/>
      <c r="D22" s="314"/>
      <c r="E22" s="34" t="str">
        <f>IF(C22&lt;&gt;"",'2030年目標設定'!$C$45,"")</f>
        <v/>
      </c>
      <c r="F22" s="35" t="str">
        <f t="shared" si="0"/>
        <v/>
      </c>
    </row>
    <row r="23" spans="2:6" x14ac:dyDescent="0.45">
      <c r="B23" s="16" t="s">
        <v>1443</v>
      </c>
      <c r="C23" s="10"/>
      <c r="D23" s="314"/>
      <c r="E23" s="34" t="str">
        <f>IF(C23&lt;&gt;"",'2030年目標設定'!$C$45,"")</f>
        <v/>
      </c>
      <c r="F23" s="35" t="str">
        <f t="shared" si="0"/>
        <v/>
      </c>
    </row>
    <row r="24" spans="2:6" x14ac:dyDescent="0.45">
      <c r="B24" s="16" t="s">
        <v>1444</v>
      </c>
      <c r="C24" s="10"/>
      <c r="D24" s="314"/>
      <c r="E24" s="34" t="str">
        <f>IF(C24&lt;&gt;"",'2030年目標設定'!$C$45,"")</f>
        <v/>
      </c>
      <c r="F24" s="35" t="str">
        <f t="shared" si="0"/>
        <v/>
      </c>
    </row>
    <row r="25" spans="2:6" x14ac:dyDescent="0.45">
      <c r="B25" s="16" t="s">
        <v>1445</v>
      </c>
      <c r="C25" s="10"/>
      <c r="D25" s="314"/>
      <c r="E25" s="34" t="str">
        <f>IF(C25&lt;&gt;"",'2030年目標設定'!$C$45,"")</f>
        <v/>
      </c>
      <c r="F25" s="35" t="str">
        <f t="shared" si="0"/>
        <v/>
      </c>
    </row>
    <row r="26" spans="2:6" x14ac:dyDescent="0.45">
      <c r="B26" s="16" t="s">
        <v>1446</v>
      </c>
      <c r="C26" s="10"/>
      <c r="D26" s="314"/>
      <c r="E26" s="34" t="str">
        <f>IF(C26&lt;&gt;"",'2030年目標設定'!$C$45,"")</f>
        <v/>
      </c>
      <c r="F26" s="35" t="str">
        <f t="shared" si="0"/>
        <v/>
      </c>
    </row>
    <row r="27" spans="2:6" x14ac:dyDescent="0.45">
      <c r="B27" s="16" t="s">
        <v>1447</v>
      </c>
      <c r="C27" s="10"/>
      <c r="D27" s="314"/>
      <c r="E27" s="34" t="str">
        <f>IF(C27&lt;&gt;"",'2030年目標設定'!$C$45,"")</f>
        <v/>
      </c>
      <c r="F27" s="35" t="str">
        <f t="shared" si="0"/>
        <v/>
      </c>
    </row>
    <row r="28" spans="2:6" x14ac:dyDescent="0.45">
      <c r="B28" s="521" t="s">
        <v>1186</v>
      </c>
      <c r="C28" s="521"/>
      <c r="D28" s="314">
        <f>SUM(D8:D27)</f>
        <v>0</v>
      </c>
      <c r="E28" s="34" t="str">
        <f>IF(D28&gt;0,'2030年目標設定'!$C$45,"")</f>
        <v/>
      </c>
      <c r="F28" s="35" t="e">
        <f t="shared" si="0"/>
        <v>#VALUE!</v>
      </c>
    </row>
    <row r="30" spans="2:6" x14ac:dyDescent="0.45">
      <c r="B30" s="4" t="s">
        <v>479</v>
      </c>
    </row>
    <row r="32" spans="2:6" ht="22.2" x14ac:dyDescent="0.45">
      <c r="B32" s="28" t="s">
        <v>1459</v>
      </c>
    </row>
    <row r="33" spans="2:2" x14ac:dyDescent="0.45">
      <c r="B33" s="396"/>
    </row>
    <row r="34" spans="2:2" ht="28.8" x14ac:dyDescent="0.45">
      <c r="B34" s="397" t="s">
        <v>1460</v>
      </c>
    </row>
    <row r="35" spans="2:2" x14ac:dyDescent="0.45">
      <c r="B35" s="398" t="s">
        <v>1461</v>
      </c>
    </row>
    <row r="36" spans="2:2" x14ac:dyDescent="0.45">
      <c r="B36" s="102"/>
    </row>
    <row r="37" spans="2:2" x14ac:dyDescent="0.45">
      <c r="B37" s="398" t="s">
        <v>1462</v>
      </c>
    </row>
    <row r="38" spans="2:2" x14ac:dyDescent="0.45">
      <c r="B38" s="399" t="s">
        <v>1470</v>
      </c>
    </row>
    <row r="39" spans="2:2" x14ac:dyDescent="0.45">
      <c r="B39" s="398"/>
    </row>
    <row r="40" spans="2:2" x14ac:dyDescent="0.45">
      <c r="B40" s="398" t="s">
        <v>1463</v>
      </c>
    </row>
    <row r="41" spans="2:2" x14ac:dyDescent="0.45">
      <c r="B41" s="400" t="s">
        <v>1464</v>
      </c>
    </row>
    <row r="42" spans="2:2" x14ac:dyDescent="0.45">
      <c r="B42" s="401"/>
    </row>
    <row r="43" spans="2:2" x14ac:dyDescent="0.45">
      <c r="B43" s="398" t="s">
        <v>1465</v>
      </c>
    </row>
    <row r="44" spans="2:2" x14ac:dyDescent="0.45">
      <c r="B44" s="400" t="s">
        <v>1471</v>
      </c>
    </row>
    <row r="45" spans="2:2" x14ac:dyDescent="0.45">
      <c r="B45" s="402"/>
    </row>
    <row r="46" spans="2:2" x14ac:dyDescent="0.45">
      <c r="B46" s="398" t="s">
        <v>1466</v>
      </c>
    </row>
    <row r="47" spans="2:2" x14ac:dyDescent="0.45">
      <c r="B47" s="403" t="s">
        <v>1467</v>
      </c>
    </row>
    <row r="48" spans="2:2" x14ac:dyDescent="0.45">
      <c r="B48" s="400" t="s">
        <v>1472</v>
      </c>
    </row>
    <row r="49" spans="2:2" x14ac:dyDescent="0.45">
      <c r="B49" s="404"/>
    </row>
    <row r="50" spans="2:2" x14ac:dyDescent="0.45">
      <c r="B50" s="398" t="s">
        <v>1468</v>
      </c>
    </row>
    <row r="51" spans="2:2" x14ac:dyDescent="0.45">
      <c r="B51" s="398" t="s">
        <v>1469</v>
      </c>
    </row>
    <row r="52" spans="2:2" x14ac:dyDescent="0.45">
      <c r="B52" s="400" t="s">
        <v>1472</v>
      </c>
    </row>
    <row r="53" spans="2:2" x14ac:dyDescent="0.45">
      <c r="B53" s="402"/>
    </row>
  </sheetData>
  <mergeCells count="3">
    <mergeCell ref="B6:B7"/>
    <mergeCell ref="C6:C7"/>
    <mergeCell ref="B28:C28"/>
  </mergeCells>
  <phoneticPr fontId="2"/>
  <hyperlinks>
    <hyperlink ref="B34" r:id="rId1" display="https://sewage-tech.net/" xr:uid="{562AD8E7-272C-49C0-9C5F-AD6FAB4C83E0}"/>
    <hyperlink ref="B41" r:id="rId2" xr:uid="{D93AB8A9-36EE-4737-9A40-CE46823B6DB1}"/>
    <hyperlink ref="B44" r:id="rId3" xr:uid="{81F3407E-303C-4CDC-98C5-41083709FC56}"/>
    <hyperlink ref="B48" r:id="rId4" xr:uid="{5E6912A1-7CB5-4EA4-95D0-D2A21B9D99CB}"/>
    <hyperlink ref="B52" r:id="rId5" xr:uid="{F1932C7D-E43E-4291-86F8-52E4FB0677B4}"/>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DC5E8-562D-44D2-AD5F-537C7644783F}">
  <sheetPr>
    <tabColor rgb="FFFF0000"/>
    <pageSetUpPr fitToPage="1"/>
  </sheetPr>
  <dimension ref="B1:J77"/>
  <sheetViews>
    <sheetView showGridLines="0" view="pageBreakPreview" zoomScale="60" zoomScaleNormal="70" workbookViewId="0"/>
  </sheetViews>
  <sheetFormatPr defaultRowHeight="18" x14ac:dyDescent="0.45"/>
  <cols>
    <col min="3" max="3" width="18.8984375" bestFit="1" customWidth="1"/>
    <col min="4" max="4" width="13" bestFit="1" customWidth="1"/>
    <col min="5" max="5" width="13" customWidth="1"/>
    <col min="6" max="7" width="20" customWidth="1"/>
    <col min="8" max="8" width="22.5" customWidth="1"/>
    <col min="9" max="9" width="19.5" bestFit="1" customWidth="1"/>
  </cols>
  <sheetData>
    <row r="1" spans="2:9" x14ac:dyDescent="0.45">
      <c r="B1" s="4" t="s">
        <v>483</v>
      </c>
    </row>
    <row r="2" spans="2:9" x14ac:dyDescent="0.45">
      <c r="B2" s="4"/>
    </row>
    <row r="3" spans="2:9" ht="54" customHeight="1" x14ac:dyDescent="0.45">
      <c r="C3" s="4"/>
      <c r="H3" s="535" t="s">
        <v>1421</v>
      </c>
      <c r="I3" s="535"/>
    </row>
    <row r="4" spans="2:9" ht="36" x14ac:dyDescent="0.45">
      <c r="C4" s="26"/>
      <c r="D4" s="87" t="s">
        <v>1189</v>
      </c>
      <c r="E4" s="87" t="s">
        <v>1369</v>
      </c>
      <c r="F4" s="87" t="s">
        <v>1483</v>
      </c>
      <c r="G4" s="87" t="s">
        <v>481</v>
      </c>
      <c r="H4" s="150" t="s">
        <v>1422</v>
      </c>
      <c r="I4" s="150" t="s">
        <v>1384</v>
      </c>
    </row>
    <row r="5" spans="2:9" ht="36" x14ac:dyDescent="0.45">
      <c r="C5" s="25" t="s">
        <v>1188</v>
      </c>
      <c r="D5" s="149">
        <f>'2030年目標設定'!C45</f>
        <v>0</v>
      </c>
      <c r="E5" s="149" t="e">
        <f>'2018年平均値'!E14:F14</f>
        <v>#N/A</v>
      </c>
      <c r="F5" s="149" t="e">
        <f>'2030年目標設定'!C47</f>
        <v>#DIV/0!</v>
      </c>
      <c r="G5" s="149">
        <f>D5-水処理対策シート!I17-汚泥処理対策シート!I17-再エネ対策シート!F10-追加対策シート!D28</f>
        <v>0</v>
      </c>
      <c r="H5" s="149" t="e">
        <f>IF(F5&lt;&gt;"",G5-F5,"")</f>
        <v>#DIV/0!</v>
      </c>
      <c r="I5" s="149" t="e">
        <f>IF(E5&lt;&gt;"",G5-E5,"")</f>
        <v>#N/A</v>
      </c>
    </row>
    <row r="6" spans="2:9" x14ac:dyDescent="0.45">
      <c r="C6" s="509" t="s">
        <v>1423</v>
      </c>
      <c r="D6" s="509"/>
      <c r="E6" s="509"/>
      <c r="F6" s="509"/>
      <c r="G6" s="509"/>
      <c r="H6" s="536" t="e">
        <f>G5/F5*100</f>
        <v>#DIV/0!</v>
      </c>
      <c r="I6" s="536"/>
    </row>
    <row r="7" spans="2:9" x14ac:dyDescent="0.45">
      <c r="C7" s="509" t="s">
        <v>1385</v>
      </c>
      <c r="D7" s="509"/>
      <c r="E7" s="509"/>
      <c r="F7" s="509"/>
      <c r="G7" s="509"/>
      <c r="H7" s="536" t="e">
        <f>G5/E5*100</f>
        <v>#N/A</v>
      </c>
      <c r="I7" s="536"/>
    </row>
    <row r="32" spans="3:10" ht="39" customHeight="1" x14ac:dyDescent="0.45">
      <c r="C32" s="534" t="s">
        <v>1451</v>
      </c>
      <c r="D32" s="534"/>
      <c r="E32" s="534"/>
      <c r="F32" s="534"/>
      <c r="G32" s="534"/>
      <c r="H32" s="16" t="s">
        <v>1452</v>
      </c>
      <c r="I32" s="537" t="s">
        <v>1453</v>
      </c>
      <c r="J32" s="537"/>
    </row>
    <row r="33" spans="3:10" x14ac:dyDescent="0.45">
      <c r="C33" s="530" t="s">
        <v>1454</v>
      </c>
      <c r="D33" s="530"/>
      <c r="E33" s="530"/>
      <c r="F33" s="530"/>
      <c r="G33" s="530"/>
      <c r="H33" s="530"/>
      <c r="I33" s="530"/>
      <c r="J33" s="530"/>
    </row>
    <row r="34" spans="3:10" x14ac:dyDescent="0.45">
      <c r="C34" s="531" t="str">
        <f>IF(水処理対策シート!B8="○",水処理対策シート!E8,"")</f>
        <v/>
      </c>
      <c r="D34" s="532"/>
      <c r="E34" s="532"/>
      <c r="F34" s="532"/>
      <c r="G34" s="533"/>
      <c r="H34" s="394" t="str">
        <f>IF(水処理対策シート!B8="○",水処理対策シート!I8,"")</f>
        <v/>
      </c>
      <c r="I34" s="525" t="str">
        <f>IF(H34&lt;&gt;"",H34/$D$5*100,"")</f>
        <v/>
      </c>
      <c r="J34" s="525"/>
    </row>
    <row r="35" spans="3:10" x14ac:dyDescent="0.45">
      <c r="C35" s="531" t="str">
        <f>IF(水処理対策シート!B9="○",水処理対策シート!E9,"")</f>
        <v/>
      </c>
      <c r="D35" s="532"/>
      <c r="E35" s="532"/>
      <c r="F35" s="532"/>
      <c r="G35" s="533"/>
      <c r="H35" s="394" t="str">
        <f>IF(水処理対策シート!B9="○",水処理対策シート!I9,"")</f>
        <v/>
      </c>
      <c r="I35" s="525" t="str">
        <f t="shared" ref="I35:I75" si="0">IF(H35&lt;&gt;"",H35/$D$5*100,"")</f>
        <v/>
      </c>
      <c r="J35" s="525"/>
    </row>
    <row r="36" spans="3:10" x14ac:dyDescent="0.45">
      <c r="C36" s="531" t="str">
        <f>IF(水処理対策シート!B10="○",水処理対策シート!E10,"")</f>
        <v/>
      </c>
      <c r="D36" s="532"/>
      <c r="E36" s="532"/>
      <c r="F36" s="532"/>
      <c r="G36" s="533"/>
      <c r="H36" s="394" t="str">
        <f>IF(水処理対策シート!B10="○",水処理対策シート!I10,"")</f>
        <v/>
      </c>
      <c r="I36" s="525" t="str">
        <f t="shared" si="0"/>
        <v/>
      </c>
      <c r="J36" s="525"/>
    </row>
    <row r="37" spans="3:10" x14ac:dyDescent="0.45">
      <c r="C37" s="531" t="str">
        <f>IF(水処理対策シート!B11="○",水処理対策シート!E11,"")</f>
        <v/>
      </c>
      <c r="D37" s="532"/>
      <c r="E37" s="532"/>
      <c r="F37" s="532"/>
      <c r="G37" s="533"/>
      <c r="H37" s="394" t="str">
        <f>IF(水処理対策シート!B11="○",水処理対策シート!I11,"")</f>
        <v/>
      </c>
      <c r="I37" s="525" t="str">
        <f t="shared" si="0"/>
        <v/>
      </c>
      <c r="J37" s="525"/>
    </row>
    <row r="38" spans="3:10" x14ac:dyDescent="0.45">
      <c r="C38" s="531" t="str">
        <f>IF(水処理対策シート!B12="○",水処理対策シート!E12,"")</f>
        <v/>
      </c>
      <c r="D38" s="532"/>
      <c r="E38" s="532"/>
      <c r="F38" s="532"/>
      <c r="G38" s="533"/>
      <c r="H38" s="394" t="str">
        <f>IF(水処理対策シート!B12="○",水処理対策シート!I12,"")</f>
        <v/>
      </c>
      <c r="I38" s="525" t="str">
        <f t="shared" si="0"/>
        <v/>
      </c>
      <c r="J38" s="525"/>
    </row>
    <row r="39" spans="3:10" x14ac:dyDescent="0.45">
      <c r="C39" s="531" t="str">
        <f>IF(水処理対策シート!B13="○",水処理対策シート!E13,"")</f>
        <v/>
      </c>
      <c r="D39" s="532"/>
      <c r="E39" s="532"/>
      <c r="F39" s="532"/>
      <c r="G39" s="533"/>
      <c r="H39" s="394" t="str">
        <f>IF(水処理対策シート!B13="○",水処理対策シート!I13,"")</f>
        <v/>
      </c>
      <c r="I39" s="525" t="str">
        <f t="shared" si="0"/>
        <v/>
      </c>
      <c r="J39" s="525"/>
    </row>
    <row r="40" spans="3:10" x14ac:dyDescent="0.45">
      <c r="C40" s="531" t="str">
        <f>IF(水処理対策シート!B14="○",水処理対策シート!E14,"")</f>
        <v/>
      </c>
      <c r="D40" s="532"/>
      <c r="E40" s="532"/>
      <c r="F40" s="532"/>
      <c r="G40" s="533"/>
      <c r="H40" s="394" t="str">
        <f>IF(水処理対策シート!B14="○",水処理対策シート!I14,"")</f>
        <v/>
      </c>
      <c r="I40" s="525" t="str">
        <f t="shared" si="0"/>
        <v/>
      </c>
      <c r="J40" s="525"/>
    </row>
    <row r="41" spans="3:10" x14ac:dyDescent="0.45">
      <c r="C41" s="531" t="str">
        <f>IF(水処理対策シート!B15="○",水処理対策シート!E15,"")</f>
        <v/>
      </c>
      <c r="D41" s="532"/>
      <c r="E41" s="532"/>
      <c r="F41" s="532"/>
      <c r="G41" s="533"/>
      <c r="H41" s="394" t="str">
        <f>IF(水処理対策シート!B15="○",水処理対策シート!I15,"")</f>
        <v/>
      </c>
      <c r="I41" s="525" t="str">
        <f t="shared" si="0"/>
        <v/>
      </c>
      <c r="J41" s="525"/>
    </row>
    <row r="42" spans="3:10" x14ac:dyDescent="0.45">
      <c r="C42" s="531" t="str">
        <f>IF(水処理対策シート!B16="○",水処理対策シート!E16,"")</f>
        <v/>
      </c>
      <c r="D42" s="532"/>
      <c r="E42" s="532"/>
      <c r="F42" s="532"/>
      <c r="G42" s="533"/>
      <c r="H42" s="394" t="str">
        <f>IF(水処理対策シート!B16="○",水処理対策シート!I16,"")</f>
        <v/>
      </c>
      <c r="I42" s="525" t="str">
        <f t="shared" si="0"/>
        <v/>
      </c>
      <c r="J42" s="525"/>
    </row>
    <row r="43" spans="3:10" x14ac:dyDescent="0.45">
      <c r="C43" s="530" t="s">
        <v>1455</v>
      </c>
      <c r="D43" s="530"/>
      <c r="E43" s="530"/>
      <c r="F43" s="530"/>
      <c r="G43" s="530"/>
      <c r="H43" s="530"/>
      <c r="I43" s="530"/>
      <c r="J43" s="530"/>
    </row>
    <row r="44" spans="3:10" x14ac:dyDescent="0.45">
      <c r="C44" s="531" t="str">
        <f>IF(汚泥処理対策シート!B8="○",汚泥処理対策シート!E8,"")</f>
        <v/>
      </c>
      <c r="D44" s="532"/>
      <c r="E44" s="532"/>
      <c r="F44" s="532"/>
      <c r="G44" s="533"/>
      <c r="H44" s="393" t="str">
        <f>IF(汚泥処理対策シート!B8="○",汚泥処理対策シート!I8,"")</f>
        <v/>
      </c>
      <c r="I44" s="525" t="str">
        <f t="shared" si="0"/>
        <v/>
      </c>
      <c r="J44" s="525"/>
    </row>
    <row r="45" spans="3:10" x14ac:dyDescent="0.45">
      <c r="C45" s="531" t="str">
        <f>IF(汚泥処理対策シート!B9="○",汚泥処理対策シート!E9,"")</f>
        <v/>
      </c>
      <c r="D45" s="532"/>
      <c r="E45" s="532"/>
      <c r="F45" s="532"/>
      <c r="G45" s="533"/>
      <c r="H45" s="393" t="str">
        <f>IF(汚泥処理対策シート!B9="○",汚泥処理対策シート!I9,"")</f>
        <v/>
      </c>
      <c r="I45" s="525" t="str">
        <f t="shared" si="0"/>
        <v/>
      </c>
      <c r="J45" s="525"/>
    </row>
    <row r="46" spans="3:10" x14ac:dyDescent="0.45">
      <c r="C46" s="531" t="str">
        <f>IF(汚泥処理対策シート!B10="○",汚泥処理対策シート!E10,"")</f>
        <v/>
      </c>
      <c r="D46" s="532"/>
      <c r="E46" s="532"/>
      <c r="F46" s="532"/>
      <c r="G46" s="533"/>
      <c r="H46" s="393" t="str">
        <f>IF(汚泥処理対策シート!B10="○",汚泥処理対策シート!I10,"")</f>
        <v/>
      </c>
      <c r="I46" s="525" t="str">
        <f t="shared" si="0"/>
        <v/>
      </c>
      <c r="J46" s="525"/>
    </row>
    <row r="47" spans="3:10" x14ac:dyDescent="0.45">
      <c r="C47" s="531" t="str">
        <f>IF(汚泥処理対策シート!B11="○",汚泥処理対策シート!E11,"")</f>
        <v/>
      </c>
      <c r="D47" s="532"/>
      <c r="E47" s="532"/>
      <c r="F47" s="532"/>
      <c r="G47" s="533"/>
      <c r="H47" s="393" t="str">
        <f>IF(汚泥処理対策シート!B11="○",汚泥処理対策シート!I11,"")</f>
        <v/>
      </c>
      <c r="I47" s="525" t="str">
        <f t="shared" si="0"/>
        <v/>
      </c>
      <c r="J47" s="525"/>
    </row>
    <row r="48" spans="3:10" x14ac:dyDescent="0.45">
      <c r="C48" s="531" t="str">
        <f>IF(汚泥処理対策シート!B12="○",汚泥処理対策シート!E12,"")</f>
        <v/>
      </c>
      <c r="D48" s="532"/>
      <c r="E48" s="532"/>
      <c r="F48" s="532"/>
      <c r="G48" s="533"/>
      <c r="H48" s="393" t="str">
        <f>IF(汚泥処理対策シート!B12="○",汚泥処理対策シート!I12,"")</f>
        <v/>
      </c>
      <c r="I48" s="525" t="str">
        <f t="shared" si="0"/>
        <v/>
      </c>
      <c r="J48" s="525"/>
    </row>
    <row r="49" spans="3:10" x14ac:dyDescent="0.45">
      <c r="C49" s="531" t="str">
        <f>IF(汚泥処理対策シート!B13="○",汚泥処理対策シート!E13,"")</f>
        <v/>
      </c>
      <c r="D49" s="532"/>
      <c r="E49" s="532"/>
      <c r="F49" s="532"/>
      <c r="G49" s="533"/>
      <c r="H49" s="393" t="str">
        <f>IF(汚泥処理対策シート!B13="○",汚泥処理対策シート!I13,"")</f>
        <v/>
      </c>
      <c r="I49" s="525" t="str">
        <f t="shared" si="0"/>
        <v/>
      </c>
      <c r="J49" s="525"/>
    </row>
    <row r="50" spans="3:10" x14ac:dyDescent="0.45">
      <c r="C50" s="531" t="str">
        <f>IF(汚泥処理対策シート!B14="○",汚泥処理対策シート!E14,"")</f>
        <v/>
      </c>
      <c r="D50" s="532"/>
      <c r="E50" s="532"/>
      <c r="F50" s="532"/>
      <c r="G50" s="533"/>
      <c r="H50" s="393" t="str">
        <f>IF(汚泥処理対策シート!B14="○",汚泥処理対策シート!I14,"")</f>
        <v/>
      </c>
      <c r="I50" s="525" t="str">
        <f t="shared" si="0"/>
        <v/>
      </c>
      <c r="J50" s="525"/>
    </row>
    <row r="51" spans="3:10" x14ac:dyDescent="0.45">
      <c r="C51" s="531" t="str">
        <f>IF(汚泥処理対策シート!B15="○",汚泥処理対策シート!E15,"")</f>
        <v/>
      </c>
      <c r="D51" s="532"/>
      <c r="E51" s="532"/>
      <c r="F51" s="532"/>
      <c r="G51" s="533"/>
      <c r="H51" s="393" t="str">
        <f>IF(汚泥処理対策シート!B15="○",汚泥処理対策シート!I15,"")</f>
        <v/>
      </c>
      <c r="I51" s="525" t="str">
        <f t="shared" si="0"/>
        <v/>
      </c>
      <c r="J51" s="525"/>
    </row>
    <row r="52" spans="3:10" x14ac:dyDescent="0.45">
      <c r="C52" s="531" t="str">
        <f>IF(汚泥処理対策シート!B16="○",汚泥処理対策シート!E16,"")</f>
        <v/>
      </c>
      <c r="D52" s="532"/>
      <c r="E52" s="532"/>
      <c r="F52" s="532"/>
      <c r="G52" s="533"/>
      <c r="H52" s="393" t="str">
        <f>IF(汚泥処理対策シート!B16="○",汚泥処理対策シート!I16,"")</f>
        <v/>
      </c>
      <c r="I52" s="525" t="str">
        <f t="shared" si="0"/>
        <v/>
      </c>
      <c r="J52" s="525"/>
    </row>
    <row r="53" spans="3:10" x14ac:dyDescent="0.45">
      <c r="C53" s="530" t="s">
        <v>1456</v>
      </c>
      <c r="D53" s="530"/>
      <c r="E53" s="530"/>
      <c r="F53" s="530"/>
      <c r="G53" s="530"/>
      <c r="H53" s="530"/>
      <c r="I53" s="530"/>
      <c r="J53" s="530"/>
    </row>
    <row r="54" spans="3:10" x14ac:dyDescent="0.45">
      <c r="C54" s="529" t="str">
        <f>IF(再エネ対策シート!B8="○",再エネ対策シート!E8,"")</f>
        <v/>
      </c>
      <c r="D54" s="529"/>
      <c r="E54" s="529"/>
      <c r="F54" s="529"/>
      <c r="G54" s="529"/>
      <c r="H54" s="393" t="str">
        <f>IF(再エネ対策シート!B8="○",再エネ対策シート!F8,"")</f>
        <v/>
      </c>
      <c r="I54" s="525" t="str">
        <f t="shared" si="0"/>
        <v/>
      </c>
      <c r="J54" s="525"/>
    </row>
    <row r="55" spans="3:10" x14ac:dyDescent="0.45">
      <c r="C55" s="529" t="str">
        <f>IF(再エネ対策シート!B9="○",再エネ対策シート!E9,"")</f>
        <v/>
      </c>
      <c r="D55" s="529"/>
      <c r="E55" s="529"/>
      <c r="F55" s="529"/>
      <c r="G55" s="529"/>
      <c r="H55" s="393" t="str">
        <f>IF(再エネ対策シート!B9="○",再エネ対策シート!F9,"")</f>
        <v/>
      </c>
      <c r="I55" s="525" t="str">
        <f t="shared" si="0"/>
        <v/>
      </c>
      <c r="J55" s="525"/>
    </row>
    <row r="56" spans="3:10" x14ac:dyDescent="0.45">
      <c r="C56" s="530" t="s">
        <v>1457</v>
      </c>
      <c r="D56" s="530"/>
      <c r="E56" s="530"/>
      <c r="F56" s="530"/>
      <c r="G56" s="530"/>
      <c r="H56" s="530"/>
      <c r="I56" s="530"/>
      <c r="J56" s="530"/>
    </row>
    <row r="57" spans="3:10" x14ac:dyDescent="0.45">
      <c r="C57" s="529" t="str">
        <f>IF(追加対策シート!C8&gt;"",追加対策シート!C8,"")</f>
        <v/>
      </c>
      <c r="D57" s="529"/>
      <c r="E57" s="529"/>
      <c r="F57" s="529"/>
      <c r="G57" s="529"/>
      <c r="H57" s="393" t="str">
        <f>IF(追加対策シート!C8&gt;"",追加対策シート!D8,"")</f>
        <v/>
      </c>
      <c r="I57" s="525" t="str">
        <f t="shared" si="0"/>
        <v/>
      </c>
      <c r="J57" s="525"/>
    </row>
    <row r="58" spans="3:10" x14ac:dyDescent="0.45">
      <c r="C58" s="529" t="str">
        <f>IF(追加対策シート!C9&gt;"",追加対策シート!C9,"")</f>
        <v/>
      </c>
      <c r="D58" s="529"/>
      <c r="E58" s="529"/>
      <c r="F58" s="529"/>
      <c r="G58" s="529"/>
      <c r="H58" s="393" t="str">
        <f>IF(追加対策シート!C9&gt;"",追加対策シート!D9,"")</f>
        <v/>
      </c>
      <c r="I58" s="525" t="str">
        <f t="shared" si="0"/>
        <v/>
      </c>
      <c r="J58" s="525"/>
    </row>
    <row r="59" spans="3:10" x14ac:dyDescent="0.45">
      <c r="C59" s="529" t="str">
        <f>IF(追加対策シート!C10&gt;"",追加対策シート!C10,"")</f>
        <v/>
      </c>
      <c r="D59" s="529"/>
      <c r="E59" s="529"/>
      <c r="F59" s="529"/>
      <c r="G59" s="529"/>
      <c r="H59" s="393" t="str">
        <f>IF(追加対策シート!C10&gt;"",追加対策シート!D10,"")</f>
        <v/>
      </c>
      <c r="I59" s="525" t="str">
        <f t="shared" si="0"/>
        <v/>
      </c>
      <c r="J59" s="525"/>
    </row>
    <row r="60" spans="3:10" x14ac:dyDescent="0.45">
      <c r="C60" s="529" t="str">
        <f>IF(追加対策シート!C11&gt;"",追加対策シート!C11,"")</f>
        <v/>
      </c>
      <c r="D60" s="529"/>
      <c r="E60" s="529"/>
      <c r="F60" s="529"/>
      <c r="G60" s="529"/>
      <c r="H60" s="393" t="str">
        <f>IF(追加対策シート!C11&gt;"",追加対策シート!D11,"")</f>
        <v/>
      </c>
      <c r="I60" s="525" t="str">
        <f t="shared" si="0"/>
        <v/>
      </c>
      <c r="J60" s="525"/>
    </row>
    <row r="61" spans="3:10" x14ac:dyDescent="0.45">
      <c r="C61" s="529" t="str">
        <f>IF(追加対策シート!C12&gt;"",追加対策シート!C12,"")</f>
        <v/>
      </c>
      <c r="D61" s="529"/>
      <c r="E61" s="529"/>
      <c r="F61" s="529"/>
      <c r="G61" s="529"/>
      <c r="H61" s="393" t="str">
        <f>IF(追加対策シート!C12&gt;"",追加対策シート!D12,"")</f>
        <v/>
      </c>
      <c r="I61" s="525" t="str">
        <f t="shared" si="0"/>
        <v/>
      </c>
      <c r="J61" s="525"/>
    </row>
    <row r="62" spans="3:10" x14ac:dyDescent="0.45">
      <c r="C62" s="529" t="str">
        <f>IF(追加対策シート!C13&gt;"",追加対策シート!C13,"")</f>
        <v/>
      </c>
      <c r="D62" s="529"/>
      <c r="E62" s="529"/>
      <c r="F62" s="529"/>
      <c r="G62" s="529"/>
      <c r="H62" s="393" t="str">
        <f>IF(追加対策シート!C13&gt;"",追加対策シート!D13,"")</f>
        <v/>
      </c>
      <c r="I62" s="525" t="str">
        <f t="shared" si="0"/>
        <v/>
      </c>
      <c r="J62" s="525"/>
    </row>
    <row r="63" spans="3:10" x14ac:dyDescent="0.45">
      <c r="C63" s="529" t="str">
        <f>IF(追加対策シート!C14&gt;"",追加対策シート!C14,"")</f>
        <v/>
      </c>
      <c r="D63" s="529"/>
      <c r="E63" s="529"/>
      <c r="F63" s="529"/>
      <c r="G63" s="529"/>
      <c r="H63" s="393" t="str">
        <f>IF(追加対策シート!C14&gt;"",追加対策シート!D14,"")</f>
        <v/>
      </c>
      <c r="I63" s="525" t="str">
        <f t="shared" si="0"/>
        <v/>
      </c>
      <c r="J63" s="525"/>
    </row>
    <row r="64" spans="3:10" x14ac:dyDescent="0.45">
      <c r="C64" s="529" t="str">
        <f>IF(追加対策シート!C15&gt;"",追加対策シート!C15,"")</f>
        <v/>
      </c>
      <c r="D64" s="529"/>
      <c r="E64" s="529"/>
      <c r="F64" s="529"/>
      <c r="G64" s="529"/>
      <c r="H64" s="393" t="str">
        <f>IF(追加対策シート!C15&gt;"",追加対策シート!D15,"")</f>
        <v/>
      </c>
      <c r="I64" s="525" t="str">
        <f t="shared" si="0"/>
        <v/>
      </c>
      <c r="J64" s="525"/>
    </row>
    <row r="65" spans="3:10" x14ac:dyDescent="0.45">
      <c r="C65" s="529" t="str">
        <f>IF(追加対策シート!C16&gt;"",追加対策シート!C16,"")</f>
        <v/>
      </c>
      <c r="D65" s="529"/>
      <c r="E65" s="529"/>
      <c r="F65" s="529"/>
      <c r="G65" s="529"/>
      <c r="H65" s="393" t="str">
        <f>IF(追加対策シート!C16&gt;"",追加対策シート!D16,"")</f>
        <v/>
      </c>
      <c r="I65" s="525" t="str">
        <f t="shared" si="0"/>
        <v/>
      </c>
      <c r="J65" s="525"/>
    </row>
    <row r="66" spans="3:10" x14ac:dyDescent="0.45">
      <c r="C66" s="529" t="str">
        <f>IF(追加対策シート!C17&gt;"",追加対策シート!C17,"")</f>
        <v/>
      </c>
      <c r="D66" s="529"/>
      <c r="E66" s="529"/>
      <c r="F66" s="529"/>
      <c r="G66" s="529"/>
      <c r="H66" s="393" t="str">
        <f>IF(追加対策シート!C17&gt;"",追加対策シート!D17,"")</f>
        <v/>
      </c>
      <c r="I66" s="525" t="str">
        <f t="shared" si="0"/>
        <v/>
      </c>
      <c r="J66" s="525"/>
    </row>
    <row r="67" spans="3:10" x14ac:dyDescent="0.45">
      <c r="C67" s="529" t="str">
        <f>IF(追加対策シート!C18&gt;"",追加対策シート!C18,"")</f>
        <v/>
      </c>
      <c r="D67" s="529"/>
      <c r="E67" s="529"/>
      <c r="F67" s="529"/>
      <c r="G67" s="529"/>
      <c r="H67" s="393" t="str">
        <f>IF(追加対策シート!C18&gt;"",追加対策シート!D18,"")</f>
        <v/>
      </c>
      <c r="I67" s="525" t="str">
        <f t="shared" si="0"/>
        <v/>
      </c>
      <c r="J67" s="525"/>
    </row>
    <row r="68" spans="3:10" x14ac:dyDescent="0.45">
      <c r="C68" s="529" t="str">
        <f>IF(追加対策シート!C19&gt;"",追加対策シート!C19,"")</f>
        <v/>
      </c>
      <c r="D68" s="529"/>
      <c r="E68" s="529"/>
      <c r="F68" s="529"/>
      <c r="G68" s="529"/>
      <c r="H68" s="393" t="str">
        <f>IF(追加対策シート!C19&gt;"",追加対策シート!D19,"")</f>
        <v/>
      </c>
      <c r="I68" s="525" t="str">
        <f t="shared" si="0"/>
        <v/>
      </c>
      <c r="J68" s="525"/>
    </row>
    <row r="69" spans="3:10" x14ac:dyDescent="0.45">
      <c r="C69" s="529" t="str">
        <f>IF(追加対策シート!C20&gt;"",追加対策シート!C20,"")</f>
        <v/>
      </c>
      <c r="D69" s="529"/>
      <c r="E69" s="529"/>
      <c r="F69" s="529"/>
      <c r="G69" s="529"/>
      <c r="H69" s="393" t="str">
        <f>IF(追加対策シート!C20&gt;"",追加対策シート!D20,"")</f>
        <v/>
      </c>
      <c r="I69" s="525" t="str">
        <f t="shared" si="0"/>
        <v/>
      </c>
      <c r="J69" s="525"/>
    </row>
    <row r="70" spans="3:10" x14ac:dyDescent="0.45">
      <c r="C70" s="529" t="str">
        <f>IF(追加対策シート!C21&gt;"",追加対策シート!C21,"")</f>
        <v/>
      </c>
      <c r="D70" s="529"/>
      <c r="E70" s="529"/>
      <c r="F70" s="529"/>
      <c r="G70" s="529"/>
      <c r="H70" s="393" t="str">
        <f>IF(追加対策シート!C21&gt;"",追加対策シート!D21,"")</f>
        <v/>
      </c>
      <c r="I70" s="525" t="str">
        <f t="shared" si="0"/>
        <v/>
      </c>
      <c r="J70" s="525"/>
    </row>
    <row r="71" spans="3:10" x14ac:dyDescent="0.45">
      <c r="C71" s="529" t="str">
        <f>IF(追加対策シート!C22&gt;"",追加対策シート!C22,"")</f>
        <v/>
      </c>
      <c r="D71" s="529"/>
      <c r="E71" s="529"/>
      <c r="F71" s="529"/>
      <c r="G71" s="529"/>
      <c r="H71" s="393" t="str">
        <f>IF(追加対策シート!C22&gt;"",追加対策シート!D22,"")</f>
        <v/>
      </c>
      <c r="I71" s="525" t="str">
        <f t="shared" si="0"/>
        <v/>
      </c>
      <c r="J71" s="525"/>
    </row>
    <row r="72" spans="3:10" x14ac:dyDescent="0.45">
      <c r="C72" s="529" t="str">
        <f>IF(追加対策シート!C23&gt;"",追加対策シート!C23,"")</f>
        <v/>
      </c>
      <c r="D72" s="529"/>
      <c r="E72" s="529"/>
      <c r="F72" s="529"/>
      <c r="G72" s="529"/>
      <c r="H72" s="393" t="str">
        <f>IF(追加対策シート!C23&gt;"",追加対策シート!D23,"")</f>
        <v/>
      </c>
      <c r="I72" s="525" t="str">
        <f t="shared" si="0"/>
        <v/>
      </c>
      <c r="J72" s="525"/>
    </row>
    <row r="73" spans="3:10" x14ac:dyDescent="0.45">
      <c r="C73" s="529" t="str">
        <f>IF(追加対策シート!C24&gt;"",追加対策シート!C24,"")</f>
        <v/>
      </c>
      <c r="D73" s="529"/>
      <c r="E73" s="529"/>
      <c r="F73" s="529"/>
      <c r="G73" s="529"/>
      <c r="H73" s="393" t="str">
        <f>IF(追加対策シート!C24&gt;"",追加対策シート!D24,"")</f>
        <v/>
      </c>
      <c r="I73" s="525" t="str">
        <f t="shared" si="0"/>
        <v/>
      </c>
      <c r="J73" s="525"/>
    </row>
    <row r="74" spans="3:10" x14ac:dyDescent="0.45">
      <c r="C74" s="529" t="str">
        <f>IF(追加対策シート!C25&gt;"",追加対策シート!C25,"")</f>
        <v/>
      </c>
      <c r="D74" s="529"/>
      <c r="E74" s="529"/>
      <c r="F74" s="529"/>
      <c r="G74" s="529"/>
      <c r="H74" s="393" t="str">
        <f>IF(追加対策シート!C25&gt;"",追加対策シート!D25,"")</f>
        <v/>
      </c>
      <c r="I74" s="525" t="str">
        <f t="shared" si="0"/>
        <v/>
      </c>
      <c r="J74" s="525"/>
    </row>
    <row r="75" spans="3:10" x14ac:dyDescent="0.45">
      <c r="C75" s="529" t="str">
        <f>IF(追加対策シート!C26&gt;"",追加対策シート!C26,"")</f>
        <v/>
      </c>
      <c r="D75" s="529"/>
      <c r="E75" s="529"/>
      <c r="F75" s="529"/>
      <c r="G75" s="529"/>
      <c r="H75" s="393" t="str">
        <f>IF(追加対策シート!C26&gt;"",追加対策シート!D26,"")</f>
        <v/>
      </c>
      <c r="I75" s="525" t="str">
        <f t="shared" si="0"/>
        <v/>
      </c>
      <c r="J75" s="525"/>
    </row>
    <row r="76" spans="3:10" x14ac:dyDescent="0.45">
      <c r="C76" s="529" t="str">
        <f>IF(追加対策シート!C27&gt;"",追加対策シート!C27,"")</f>
        <v/>
      </c>
      <c r="D76" s="529"/>
      <c r="E76" s="529"/>
      <c r="F76" s="529"/>
      <c r="G76" s="529"/>
      <c r="H76" s="393" t="str">
        <f>IF(追加対策シート!C27&gt;"",追加対策シート!D27,"")</f>
        <v/>
      </c>
      <c r="I76" s="525" t="str">
        <f>IF(H76&lt;&gt;"",H76/$D$5*100,"")</f>
        <v/>
      </c>
      <c r="J76" s="525"/>
    </row>
    <row r="77" spans="3:10" x14ac:dyDescent="0.45">
      <c r="C77" s="526" t="s">
        <v>1458</v>
      </c>
      <c r="D77" s="527"/>
      <c r="E77" s="527"/>
      <c r="F77" s="527"/>
      <c r="G77" s="528"/>
      <c r="H77" s="395">
        <f>SUM(H34:H42,H44:H52,H54:H55,H57:H76)</f>
        <v>0</v>
      </c>
      <c r="I77" s="524" t="e">
        <f>H77/$D$5*100</f>
        <v>#DIV/0!</v>
      </c>
      <c r="J77" s="524"/>
    </row>
  </sheetData>
  <mergeCells count="93">
    <mergeCell ref="C32:G32"/>
    <mergeCell ref="H3:I3"/>
    <mergeCell ref="C6:G6"/>
    <mergeCell ref="H6:I6"/>
    <mergeCell ref="C7:G7"/>
    <mergeCell ref="H7:I7"/>
    <mergeCell ref="I32:J32"/>
    <mergeCell ref="I34:J34"/>
    <mergeCell ref="I35:J35"/>
    <mergeCell ref="I36:J36"/>
    <mergeCell ref="I37:J37"/>
    <mergeCell ref="I44:J44"/>
    <mergeCell ref="I45:J45"/>
    <mergeCell ref="C33:J33"/>
    <mergeCell ref="C43:J43"/>
    <mergeCell ref="I46:J46"/>
    <mergeCell ref="I38:J38"/>
    <mergeCell ref="I39:J39"/>
    <mergeCell ref="I40:J40"/>
    <mergeCell ref="I41:J41"/>
    <mergeCell ref="I42:J42"/>
    <mergeCell ref="C45:G45"/>
    <mergeCell ref="C46:G46"/>
    <mergeCell ref="C34:G34"/>
    <mergeCell ref="C35:G35"/>
    <mergeCell ref="C36:G36"/>
    <mergeCell ref="C37:G37"/>
    <mergeCell ref="C38:G38"/>
    <mergeCell ref="I47:J47"/>
    <mergeCell ref="I48:J48"/>
    <mergeCell ref="I49:J49"/>
    <mergeCell ref="I50:J50"/>
    <mergeCell ref="I51:J51"/>
    <mergeCell ref="C47:G47"/>
    <mergeCell ref="C48:G48"/>
    <mergeCell ref="C49:G49"/>
    <mergeCell ref="C39:G39"/>
    <mergeCell ref="C40:G40"/>
    <mergeCell ref="C41:G41"/>
    <mergeCell ref="C42:G42"/>
    <mergeCell ref="C44:G44"/>
    <mergeCell ref="C55:G55"/>
    <mergeCell ref="C56:J56"/>
    <mergeCell ref="I54:J54"/>
    <mergeCell ref="I55:J55"/>
    <mergeCell ref="C50:G50"/>
    <mergeCell ref="C51:G51"/>
    <mergeCell ref="C52:G52"/>
    <mergeCell ref="C53:J53"/>
    <mergeCell ref="C54:G54"/>
    <mergeCell ref="I52:J52"/>
    <mergeCell ref="C57:G57"/>
    <mergeCell ref="C58:G58"/>
    <mergeCell ref="C59:G59"/>
    <mergeCell ref="C60:G60"/>
    <mergeCell ref="C61:G61"/>
    <mergeCell ref="C62:G62"/>
    <mergeCell ref="C63:G63"/>
    <mergeCell ref="C64:G64"/>
    <mergeCell ref="C65:G65"/>
    <mergeCell ref="C66:G66"/>
    <mergeCell ref="C67:G67"/>
    <mergeCell ref="C68:G68"/>
    <mergeCell ref="C69:G69"/>
    <mergeCell ref="C70:G70"/>
    <mergeCell ref="C71:G71"/>
    <mergeCell ref="C77:G77"/>
    <mergeCell ref="C72:G72"/>
    <mergeCell ref="C73:G73"/>
    <mergeCell ref="C74:G74"/>
    <mergeCell ref="C75:G75"/>
    <mergeCell ref="C76:G76"/>
    <mergeCell ref="I67:J67"/>
    <mergeCell ref="I68:J68"/>
    <mergeCell ref="I69:J69"/>
    <mergeCell ref="I70:J70"/>
    <mergeCell ref="I71:J71"/>
    <mergeCell ref="I62:J62"/>
    <mergeCell ref="I63:J63"/>
    <mergeCell ref="I64:J64"/>
    <mergeCell ref="I65:J65"/>
    <mergeCell ref="I66:J66"/>
    <mergeCell ref="I57:J57"/>
    <mergeCell ref="I58:J58"/>
    <mergeCell ref="I59:J59"/>
    <mergeCell ref="I60:J60"/>
    <mergeCell ref="I61:J61"/>
    <mergeCell ref="I77:J77"/>
    <mergeCell ref="I72:J72"/>
    <mergeCell ref="I73:J73"/>
    <mergeCell ref="I74:J74"/>
    <mergeCell ref="I75:J75"/>
    <mergeCell ref="I76:J76"/>
  </mergeCells>
  <phoneticPr fontId="2"/>
  <pageMargins left="0.7" right="0.7" top="0.75" bottom="0.75" header="0.3" footer="0.3"/>
  <pageSetup paperSize="8" scale="71"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BE9D2-DF34-4FCD-851B-8EAAAC5E0B6D}">
  <sheetPr codeName="Sheet9">
    <tabColor rgb="FF0070C0"/>
  </sheetPr>
  <dimension ref="B2:M15"/>
  <sheetViews>
    <sheetView zoomScaleNormal="100" workbookViewId="0"/>
  </sheetViews>
  <sheetFormatPr defaultRowHeight="18" x14ac:dyDescent="0.45"/>
  <cols>
    <col min="2" max="2" width="10.5" customWidth="1"/>
    <col min="4" max="4" width="9.3984375" bestFit="1" customWidth="1"/>
    <col min="5" max="5" width="31.19921875" customWidth="1"/>
  </cols>
  <sheetData>
    <row r="2" spans="2:13" ht="22.2" x14ac:dyDescent="0.45">
      <c r="B2" s="28" t="s">
        <v>109</v>
      </c>
      <c r="M2" s="242" t="s">
        <v>1151</v>
      </c>
    </row>
    <row r="3" spans="2:13" x14ac:dyDescent="0.45">
      <c r="B3" s="32" t="s">
        <v>94</v>
      </c>
      <c r="C3" s="33"/>
      <c r="D3" s="33"/>
      <c r="E3" s="33"/>
      <c r="H3" s="18"/>
      <c r="I3" t="s">
        <v>79</v>
      </c>
    </row>
    <row r="4" spans="2:13" x14ac:dyDescent="0.45">
      <c r="B4" s="309" t="s">
        <v>97</v>
      </c>
      <c r="C4" s="310"/>
      <c r="D4" s="310"/>
      <c r="E4" s="310"/>
      <c r="H4" s="7"/>
      <c r="I4" t="s">
        <v>80</v>
      </c>
    </row>
    <row r="5" spans="2:13" x14ac:dyDescent="0.45">
      <c r="H5" s="378"/>
      <c r="I5" t="s">
        <v>1401</v>
      </c>
    </row>
    <row r="6" spans="2:13" x14ac:dyDescent="0.45">
      <c r="H6" s="11"/>
      <c r="I6" t="s">
        <v>81</v>
      </c>
    </row>
    <row r="7" spans="2:13" x14ac:dyDescent="0.45">
      <c r="B7" s="4" t="s">
        <v>96</v>
      </c>
      <c r="C7" s="4"/>
    </row>
    <row r="9" spans="2:13" x14ac:dyDescent="0.45">
      <c r="B9" s="465" t="s">
        <v>153</v>
      </c>
      <c r="C9" s="465"/>
      <c r="D9" s="539" t="s">
        <v>155</v>
      </c>
      <c r="E9" s="540"/>
    </row>
    <row r="10" spans="2:13" x14ac:dyDescent="0.45">
      <c r="B10" s="465" t="s">
        <v>83</v>
      </c>
      <c r="C10" s="465"/>
      <c r="D10" s="8"/>
      <c r="E10" s="11" t="s">
        <v>84</v>
      </c>
    </row>
    <row r="11" spans="2:13" x14ac:dyDescent="0.45">
      <c r="B11" s="465" t="s">
        <v>85</v>
      </c>
      <c r="C11" s="465"/>
      <c r="D11" s="11">
        <v>16</v>
      </c>
      <c r="E11" s="11" t="s">
        <v>86</v>
      </c>
      <c r="F11" t="s">
        <v>87</v>
      </c>
    </row>
    <row r="12" spans="2:13" x14ac:dyDescent="0.45">
      <c r="B12" s="465" t="s">
        <v>88</v>
      </c>
      <c r="C12" s="465"/>
      <c r="D12" s="8"/>
      <c r="E12" s="11" t="s">
        <v>89</v>
      </c>
      <c r="F12" s="4" t="s">
        <v>90</v>
      </c>
    </row>
    <row r="13" spans="2:13" x14ac:dyDescent="0.45">
      <c r="B13" s="465" t="s">
        <v>91</v>
      </c>
      <c r="C13" s="465"/>
      <c r="D13" s="7">
        <f>(D10*D11/100)*D12/100</f>
        <v>0</v>
      </c>
      <c r="E13" s="11" t="s">
        <v>84</v>
      </c>
      <c r="F13" s="4" t="s">
        <v>95</v>
      </c>
    </row>
    <row r="14" spans="2:13" x14ac:dyDescent="0.45">
      <c r="B14" s="465" t="s">
        <v>70</v>
      </c>
      <c r="C14" s="465"/>
      <c r="D14" s="378">
        <f>ツール入力シート①!C13</f>
        <v>0.25</v>
      </c>
      <c r="E14" s="11" t="s">
        <v>92</v>
      </c>
    </row>
    <row r="15" spans="2:13" x14ac:dyDescent="0.45">
      <c r="B15" s="538" t="s">
        <v>93</v>
      </c>
      <c r="C15" s="538"/>
      <c r="D15" s="405">
        <f>D13*D14</f>
        <v>0</v>
      </c>
      <c r="E15" s="311" t="s">
        <v>21</v>
      </c>
    </row>
  </sheetData>
  <mergeCells count="8">
    <mergeCell ref="B14:C14"/>
    <mergeCell ref="B15:C15"/>
    <mergeCell ref="D9:E9"/>
    <mergeCell ref="B9:C9"/>
    <mergeCell ref="B10:C10"/>
    <mergeCell ref="B11:C11"/>
    <mergeCell ref="B12:C12"/>
    <mergeCell ref="B13:C13"/>
  </mergeCells>
  <phoneticPr fontId="2"/>
  <hyperlinks>
    <hyperlink ref="M2" location="水処理対策シート!A1" display="クリックで対策シートに戻る" xr:uid="{7BE09FE5-614C-4D97-9D18-FDD08B35789E}"/>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12430-B58B-4251-9A34-50F1B3D3B8EF}">
  <sheetPr codeName="Sheet10">
    <tabColor rgb="FF0070C0"/>
  </sheetPr>
  <dimension ref="B2:M33"/>
  <sheetViews>
    <sheetView zoomScale="80" zoomScaleNormal="80" workbookViewId="0"/>
  </sheetViews>
  <sheetFormatPr defaultRowHeight="18" x14ac:dyDescent="0.45"/>
  <cols>
    <col min="2" max="2" width="10.5" customWidth="1"/>
    <col min="4" max="4" width="9.3984375" bestFit="1" customWidth="1"/>
    <col min="5" max="5" width="31.19921875" customWidth="1"/>
  </cols>
  <sheetData>
    <row r="2" spans="2:13" ht="22.2" x14ac:dyDescent="0.45">
      <c r="B2" s="28" t="s">
        <v>110</v>
      </c>
      <c r="M2" s="242" t="s">
        <v>1151</v>
      </c>
    </row>
    <row r="3" spans="2:13" x14ac:dyDescent="0.45">
      <c r="B3" s="32" t="s">
        <v>94</v>
      </c>
      <c r="C3" s="33"/>
      <c r="D3" s="33"/>
      <c r="E3" s="33"/>
      <c r="H3" s="18"/>
      <c r="I3" t="s">
        <v>79</v>
      </c>
    </row>
    <row r="4" spans="2:13" x14ac:dyDescent="0.45">
      <c r="B4" s="309" t="s">
        <v>97</v>
      </c>
      <c r="C4" s="310"/>
      <c r="D4" s="310"/>
      <c r="E4" s="310"/>
      <c r="H4" s="7"/>
      <c r="I4" t="s">
        <v>80</v>
      </c>
    </row>
    <row r="5" spans="2:13" x14ac:dyDescent="0.45">
      <c r="H5" s="378"/>
      <c r="I5" t="s">
        <v>1401</v>
      </c>
    </row>
    <row r="6" spans="2:13" x14ac:dyDescent="0.45">
      <c r="H6" s="11"/>
      <c r="I6" t="s">
        <v>81</v>
      </c>
    </row>
    <row r="7" spans="2:13" x14ac:dyDescent="0.45">
      <c r="B7" s="31" t="s">
        <v>127</v>
      </c>
      <c r="C7" s="4"/>
    </row>
    <row r="8" spans="2:13" x14ac:dyDescent="0.45">
      <c r="B8" s="31" t="s">
        <v>1429</v>
      </c>
      <c r="C8" s="4"/>
    </row>
    <row r="9" spans="2:13" x14ac:dyDescent="0.45">
      <c r="B9" s="31"/>
      <c r="C9" s="4"/>
    </row>
    <row r="10" spans="2:13" x14ac:dyDescent="0.45">
      <c r="B10" s="31" t="s">
        <v>1152</v>
      </c>
      <c r="C10" s="4"/>
      <c r="D10" s="31" t="s">
        <v>1153</v>
      </c>
    </row>
    <row r="11" spans="2:13" x14ac:dyDescent="0.45">
      <c r="B11" s="31"/>
      <c r="C11" s="4"/>
    </row>
    <row r="12" spans="2:13" x14ac:dyDescent="0.45">
      <c r="B12" s="31"/>
      <c r="C12" s="4"/>
    </row>
    <row r="13" spans="2:13" x14ac:dyDescent="0.45">
      <c r="B13" s="31"/>
      <c r="C13" s="4"/>
    </row>
    <row r="14" spans="2:13" x14ac:dyDescent="0.45">
      <c r="B14" s="31"/>
      <c r="C14" s="4"/>
    </row>
    <row r="15" spans="2:13" x14ac:dyDescent="0.45">
      <c r="B15" s="31"/>
      <c r="C15" s="4"/>
    </row>
    <row r="16" spans="2:13" x14ac:dyDescent="0.45">
      <c r="B16" s="31"/>
      <c r="C16" s="4"/>
    </row>
    <row r="17" spans="2:6" x14ac:dyDescent="0.45">
      <c r="B17" s="31"/>
      <c r="C17" s="4"/>
    </row>
    <row r="18" spans="2:6" x14ac:dyDescent="0.45">
      <c r="B18" s="31"/>
      <c r="C18" s="4"/>
    </row>
    <row r="19" spans="2:6" x14ac:dyDescent="0.45">
      <c r="B19" s="31"/>
      <c r="C19" s="4"/>
    </row>
    <row r="20" spans="2:6" x14ac:dyDescent="0.45">
      <c r="B20" s="31"/>
      <c r="C20" s="4"/>
    </row>
    <row r="21" spans="2:6" x14ac:dyDescent="0.45">
      <c r="B21" s="31"/>
      <c r="C21" s="4"/>
    </row>
    <row r="22" spans="2:6" x14ac:dyDescent="0.45">
      <c r="B22" s="31"/>
      <c r="C22" s="4"/>
    </row>
    <row r="23" spans="2:6" x14ac:dyDescent="0.45">
      <c r="B23" s="31"/>
      <c r="C23" s="4"/>
    </row>
    <row r="24" spans="2:6" x14ac:dyDescent="0.45">
      <c r="B24" s="31"/>
      <c r="C24" s="4"/>
    </row>
    <row r="25" spans="2:6" x14ac:dyDescent="0.45">
      <c r="B25" s="31"/>
      <c r="C25" s="4"/>
    </row>
    <row r="26" spans="2:6" ht="18" customHeight="1" x14ac:dyDescent="0.45"/>
    <row r="27" spans="2:6" x14ac:dyDescent="0.45">
      <c r="B27" s="465" t="s">
        <v>153</v>
      </c>
      <c r="C27" s="465"/>
      <c r="D27" s="74" t="s">
        <v>155</v>
      </c>
      <c r="E27" s="75"/>
    </row>
    <row r="28" spans="2:6" x14ac:dyDescent="0.45">
      <c r="B28" s="465" t="s">
        <v>83</v>
      </c>
      <c r="C28" s="465"/>
      <c r="D28" s="8"/>
      <c r="E28" s="11" t="s">
        <v>84</v>
      </c>
    </row>
    <row r="29" spans="2:6" x14ac:dyDescent="0.45">
      <c r="B29" s="465" t="s">
        <v>85</v>
      </c>
      <c r="C29" s="465"/>
      <c r="D29" s="11">
        <v>12.9</v>
      </c>
      <c r="E29" s="11" t="s">
        <v>86</v>
      </c>
      <c r="F29" t="s">
        <v>108</v>
      </c>
    </row>
    <row r="30" spans="2:6" x14ac:dyDescent="0.45">
      <c r="B30" s="465" t="s">
        <v>88</v>
      </c>
      <c r="C30" s="465"/>
      <c r="D30" s="8"/>
      <c r="E30" s="11" t="s">
        <v>89</v>
      </c>
      <c r="F30" s="4" t="s">
        <v>90</v>
      </c>
    </row>
    <row r="31" spans="2:6" x14ac:dyDescent="0.45">
      <c r="B31" s="465" t="s">
        <v>91</v>
      </c>
      <c r="C31" s="465"/>
      <c r="D31" s="7">
        <f>(D28*D29/100)*D30/100</f>
        <v>0</v>
      </c>
      <c r="E31" s="11" t="s">
        <v>84</v>
      </c>
      <c r="F31" s="4" t="s">
        <v>95</v>
      </c>
    </row>
    <row r="32" spans="2:6" x14ac:dyDescent="0.45">
      <c r="B32" s="465" t="s">
        <v>70</v>
      </c>
      <c r="C32" s="465"/>
      <c r="D32" s="378">
        <f>ツール入力シート①!C13</f>
        <v>0.25</v>
      </c>
      <c r="E32" s="11" t="s">
        <v>92</v>
      </c>
    </row>
    <row r="33" spans="2:5" x14ac:dyDescent="0.45">
      <c r="B33" s="538" t="s">
        <v>93</v>
      </c>
      <c r="C33" s="538"/>
      <c r="D33" s="405">
        <f>D31*D32</f>
        <v>0</v>
      </c>
      <c r="E33" s="311" t="s">
        <v>21</v>
      </c>
    </row>
  </sheetData>
  <mergeCells count="7">
    <mergeCell ref="B33:C33"/>
    <mergeCell ref="B27:C27"/>
    <mergeCell ref="B28:C28"/>
    <mergeCell ref="B29:C29"/>
    <mergeCell ref="B30:C30"/>
    <mergeCell ref="B31:C31"/>
    <mergeCell ref="B32:C32"/>
  </mergeCells>
  <phoneticPr fontId="2"/>
  <hyperlinks>
    <hyperlink ref="M2" location="水処理対策シート!A1" display="クリックで対策シートに戻る" xr:uid="{B1819183-B732-4B49-A244-40243EC76D95}"/>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34474-96AE-4067-A0DC-88DEBF8B47A5}">
  <sheetPr>
    <tabColor rgb="FF0070C0"/>
  </sheetPr>
  <dimension ref="B2:M42"/>
  <sheetViews>
    <sheetView zoomScale="80" zoomScaleNormal="80" workbookViewId="0"/>
  </sheetViews>
  <sheetFormatPr defaultRowHeight="18" x14ac:dyDescent="0.45"/>
  <cols>
    <col min="2" max="2" width="10.5" customWidth="1"/>
    <col min="3" max="4" width="11" bestFit="1" customWidth="1"/>
    <col min="5" max="5" width="19.8984375" customWidth="1"/>
    <col min="6" max="6" width="12.5" customWidth="1"/>
    <col min="7" max="7" width="15.8984375" customWidth="1"/>
    <col min="8" max="8" width="22.3984375" customWidth="1"/>
    <col min="9" max="9" width="12.09765625" customWidth="1"/>
    <col min="10" max="10" width="10.19921875" customWidth="1"/>
    <col min="11" max="11" width="15.09765625" bestFit="1" customWidth="1"/>
    <col min="13" max="13" width="17" customWidth="1"/>
    <col min="14" max="14" width="21.19921875" bestFit="1" customWidth="1"/>
    <col min="15" max="15" width="7.09765625" bestFit="1" customWidth="1"/>
  </cols>
  <sheetData>
    <row r="2" spans="2:13" ht="22.2" x14ac:dyDescent="0.45">
      <c r="B2" s="28" t="s">
        <v>138</v>
      </c>
      <c r="M2" s="242" t="s">
        <v>1151</v>
      </c>
    </row>
    <row r="3" spans="2:13" x14ac:dyDescent="0.45">
      <c r="B3" s="32" t="s">
        <v>94</v>
      </c>
      <c r="C3" s="33"/>
      <c r="D3" s="33"/>
      <c r="E3" s="33"/>
      <c r="H3" s="18"/>
      <c r="I3" t="s">
        <v>79</v>
      </c>
    </row>
    <row r="4" spans="2:13" x14ac:dyDescent="0.45">
      <c r="B4" s="309" t="s">
        <v>97</v>
      </c>
      <c r="C4" s="310"/>
      <c r="D4" s="310"/>
      <c r="E4" s="310"/>
      <c r="H4" s="7"/>
      <c r="I4" t="s">
        <v>80</v>
      </c>
    </row>
    <row r="5" spans="2:13" x14ac:dyDescent="0.45">
      <c r="H5" s="378"/>
      <c r="I5" t="s">
        <v>1401</v>
      </c>
    </row>
    <row r="6" spans="2:13" x14ac:dyDescent="0.45">
      <c r="H6" s="11"/>
      <c r="I6" t="s">
        <v>81</v>
      </c>
    </row>
    <row r="7" spans="2:13" x14ac:dyDescent="0.45">
      <c r="B7" s="31" t="s">
        <v>129</v>
      </c>
      <c r="C7" s="4"/>
    </row>
    <row r="8" spans="2:13" x14ac:dyDescent="0.45">
      <c r="B8" s="31" t="s">
        <v>1428</v>
      </c>
      <c r="C8" s="4"/>
    </row>
    <row r="10" spans="2:13" x14ac:dyDescent="0.45">
      <c r="B10" s="465" t="s">
        <v>153</v>
      </c>
      <c r="C10" s="465"/>
      <c r="D10" s="539" t="s">
        <v>123</v>
      </c>
      <c r="E10" s="540"/>
    </row>
    <row r="11" spans="2:13" x14ac:dyDescent="0.45">
      <c r="B11" s="465" t="s">
        <v>122</v>
      </c>
      <c r="C11" s="465"/>
      <c r="D11" s="57"/>
      <c r="E11" s="11" t="s">
        <v>84</v>
      </c>
    </row>
    <row r="12" spans="2:13" x14ac:dyDescent="0.45">
      <c r="B12" s="465" t="s">
        <v>85</v>
      </c>
      <c r="C12" s="465"/>
      <c r="D12" s="8"/>
      <c r="E12" s="11" t="s">
        <v>86</v>
      </c>
      <c r="F12" s="4" t="s">
        <v>124</v>
      </c>
    </row>
    <row r="13" spans="2:13" x14ac:dyDescent="0.45">
      <c r="B13" s="465" t="s">
        <v>88</v>
      </c>
      <c r="C13" s="465"/>
      <c r="D13" s="8"/>
      <c r="E13" s="11" t="s">
        <v>89</v>
      </c>
      <c r="F13" s="4" t="s">
        <v>90</v>
      </c>
    </row>
    <row r="14" spans="2:13" x14ac:dyDescent="0.45">
      <c r="B14" s="465" t="s">
        <v>91</v>
      </c>
      <c r="C14" s="465"/>
      <c r="D14" s="56">
        <f>(D11*D12/100)*D13/100</f>
        <v>0</v>
      </c>
      <c r="E14" s="11" t="s">
        <v>84</v>
      </c>
      <c r="F14" s="4" t="s">
        <v>95</v>
      </c>
    </row>
    <row r="15" spans="2:13" x14ac:dyDescent="0.45">
      <c r="B15" s="465" t="s">
        <v>70</v>
      </c>
      <c r="C15" s="465"/>
      <c r="D15" s="378">
        <f>ツール入力シート①!C13</f>
        <v>0.25</v>
      </c>
      <c r="E15" s="11" t="s">
        <v>92</v>
      </c>
    </row>
    <row r="16" spans="2:13" x14ac:dyDescent="0.45">
      <c r="B16" s="538" t="s">
        <v>93</v>
      </c>
      <c r="C16" s="538"/>
      <c r="D16" s="312">
        <f>D14*D15</f>
        <v>0</v>
      </c>
      <c r="E16" s="311" t="s">
        <v>21</v>
      </c>
    </row>
    <row r="19" spans="2:6" ht="18.600000000000001" thickBot="1" x14ac:dyDescent="0.5">
      <c r="B19" s="541" t="s">
        <v>125</v>
      </c>
      <c r="C19" s="541"/>
      <c r="D19" s="541"/>
      <c r="E19" s="541"/>
      <c r="F19" s="4"/>
    </row>
    <row r="20" spans="2:6" x14ac:dyDescent="0.45">
      <c r="B20" s="60"/>
      <c r="C20" s="61" t="s">
        <v>130</v>
      </c>
      <c r="D20" s="61" t="s">
        <v>131</v>
      </c>
      <c r="E20" s="62" t="s">
        <v>131</v>
      </c>
      <c r="F20" s="59"/>
    </row>
    <row r="21" spans="2:6" ht="36" x14ac:dyDescent="0.45">
      <c r="B21" s="63"/>
      <c r="C21" s="17" t="s">
        <v>134</v>
      </c>
      <c r="D21" s="17" t="s">
        <v>135</v>
      </c>
      <c r="E21" s="64" t="s">
        <v>136</v>
      </c>
      <c r="F21" s="59"/>
    </row>
    <row r="22" spans="2:6" ht="36" x14ac:dyDescent="0.45">
      <c r="B22" s="65" t="s">
        <v>132</v>
      </c>
      <c r="C22" s="66">
        <v>1200</v>
      </c>
      <c r="D22" s="66">
        <v>1352</v>
      </c>
      <c r="E22" s="67">
        <v>1400</v>
      </c>
      <c r="F22" s="59"/>
    </row>
    <row r="23" spans="2:6" ht="18.600000000000001" thickBot="1" x14ac:dyDescent="0.5">
      <c r="B23" s="68" t="s">
        <v>137</v>
      </c>
      <c r="C23" s="69"/>
      <c r="D23" s="70">
        <f>(D22-C22)/D22*100</f>
        <v>11.242603550295858</v>
      </c>
      <c r="E23" s="71">
        <f>(E22-C22)/E22*100</f>
        <v>14.285714285714285</v>
      </c>
      <c r="F23" s="59"/>
    </row>
    <row r="24" spans="2:6" x14ac:dyDescent="0.45">
      <c r="F24" s="59"/>
    </row>
    <row r="25" spans="2:6" x14ac:dyDescent="0.45">
      <c r="B25" t="s">
        <v>133</v>
      </c>
    </row>
    <row r="41" spans="7:10" x14ac:dyDescent="0.45">
      <c r="G41" s="58"/>
    </row>
    <row r="42" spans="7:10" x14ac:dyDescent="0.45">
      <c r="I42" s="40"/>
      <c r="J42" s="40"/>
    </row>
  </sheetData>
  <mergeCells count="9">
    <mergeCell ref="B19:E19"/>
    <mergeCell ref="B15:C15"/>
    <mergeCell ref="B16:C16"/>
    <mergeCell ref="B10:C10"/>
    <mergeCell ref="D10:E10"/>
    <mergeCell ref="B11:C11"/>
    <mergeCell ref="B12:C12"/>
    <mergeCell ref="B13:C13"/>
    <mergeCell ref="B14:C14"/>
  </mergeCells>
  <phoneticPr fontId="2"/>
  <hyperlinks>
    <hyperlink ref="M2" location="水処理対策シート!A1" display="クリックで対策シートに戻る" xr:uid="{4A7DB6A1-B5AC-4756-AC26-4C17A348374F}"/>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274DA-D245-450E-8FC3-E20C7A6B1DEF}">
  <sheetPr>
    <tabColor rgb="FF0070C0"/>
  </sheetPr>
  <dimension ref="B2:M37"/>
  <sheetViews>
    <sheetView zoomScale="80" zoomScaleNormal="80" workbookViewId="0"/>
  </sheetViews>
  <sheetFormatPr defaultRowHeight="18" x14ac:dyDescent="0.45"/>
  <cols>
    <col min="2" max="2" width="10.5" customWidth="1"/>
    <col min="3" max="4" width="11" bestFit="1" customWidth="1"/>
    <col min="5" max="5" width="20.19921875" customWidth="1"/>
    <col min="6" max="6" width="12.5" customWidth="1"/>
    <col min="7" max="7" width="15.8984375" customWidth="1"/>
    <col min="8" max="8" width="22.3984375" customWidth="1"/>
    <col min="9" max="9" width="12.09765625" customWidth="1"/>
    <col min="10" max="10" width="10.19921875" customWidth="1"/>
    <col min="11" max="11" width="15.09765625" bestFit="1" customWidth="1"/>
    <col min="13" max="13" width="17" customWidth="1"/>
    <col min="14" max="14" width="21.19921875" bestFit="1" customWidth="1"/>
    <col min="15" max="15" width="7.09765625" bestFit="1" customWidth="1"/>
  </cols>
  <sheetData>
    <row r="2" spans="2:13" ht="22.2" x14ac:dyDescent="0.45">
      <c r="B2" s="28" t="s">
        <v>143</v>
      </c>
      <c r="M2" s="242" t="s">
        <v>1151</v>
      </c>
    </row>
    <row r="3" spans="2:13" x14ac:dyDescent="0.45">
      <c r="B3" s="32" t="s">
        <v>94</v>
      </c>
      <c r="C3" s="33"/>
      <c r="D3" s="33"/>
      <c r="E3" s="33"/>
      <c r="H3" s="18"/>
      <c r="I3" t="s">
        <v>79</v>
      </c>
    </row>
    <row r="4" spans="2:13" x14ac:dyDescent="0.45">
      <c r="B4" s="309" t="s">
        <v>97</v>
      </c>
      <c r="C4" s="310"/>
      <c r="D4" s="310"/>
      <c r="E4" s="310"/>
      <c r="H4" s="7"/>
      <c r="I4" t="s">
        <v>80</v>
      </c>
    </row>
    <row r="5" spans="2:13" x14ac:dyDescent="0.45">
      <c r="H5" s="378"/>
      <c r="I5" t="s">
        <v>1401</v>
      </c>
    </row>
    <row r="6" spans="2:13" x14ac:dyDescent="0.45">
      <c r="H6" s="11"/>
      <c r="I6" t="s">
        <v>81</v>
      </c>
    </row>
    <row r="7" spans="2:13" x14ac:dyDescent="0.45">
      <c r="B7" s="31" t="s">
        <v>144</v>
      </c>
      <c r="C7" s="4"/>
    </row>
    <row r="8" spans="2:13" x14ac:dyDescent="0.45">
      <c r="B8" s="31" t="s">
        <v>1428</v>
      </c>
      <c r="C8" s="4"/>
    </row>
    <row r="10" spans="2:13" x14ac:dyDescent="0.45">
      <c r="B10" s="465" t="s">
        <v>153</v>
      </c>
      <c r="C10" s="465"/>
      <c r="D10" s="74" t="s">
        <v>123</v>
      </c>
      <c r="E10" s="75"/>
    </row>
    <row r="11" spans="2:13" x14ac:dyDescent="0.45">
      <c r="B11" s="465" t="s">
        <v>122</v>
      </c>
      <c r="C11" s="465"/>
      <c r="D11" s="57"/>
      <c r="E11" s="11" t="s">
        <v>84</v>
      </c>
    </row>
    <row r="12" spans="2:13" x14ac:dyDescent="0.45">
      <c r="B12" s="465" t="s">
        <v>85</v>
      </c>
      <c r="C12" s="465"/>
      <c r="D12" s="73">
        <v>50</v>
      </c>
      <c r="E12" s="11" t="s">
        <v>86</v>
      </c>
      <c r="F12" s="4" t="s">
        <v>146</v>
      </c>
    </row>
    <row r="13" spans="2:13" x14ac:dyDescent="0.45">
      <c r="B13" s="465" t="s">
        <v>88</v>
      </c>
      <c r="C13" s="465"/>
      <c r="D13" s="8"/>
      <c r="E13" s="11" t="s">
        <v>89</v>
      </c>
      <c r="F13" s="4" t="s">
        <v>90</v>
      </c>
    </row>
    <row r="14" spans="2:13" x14ac:dyDescent="0.45">
      <c r="B14" s="465" t="s">
        <v>91</v>
      </c>
      <c r="C14" s="465"/>
      <c r="D14" s="56">
        <f>(D11*D12/100)*D13/100</f>
        <v>0</v>
      </c>
      <c r="E14" s="11" t="s">
        <v>84</v>
      </c>
      <c r="F14" s="4" t="s">
        <v>95</v>
      </c>
    </row>
    <row r="15" spans="2:13" x14ac:dyDescent="0.45">
      <c r="B15" s="465" t="s">
        <v>70</v>
      </c>
      <c r="C15" s="465"/>
      <c r="D15" s="378">
        <f>ツール入力シート①!C13</f>
        <v>0.25</v>
      </c>
      <c r="E15" s="11" t="s">
        <v>92</v>
      </c>
    </row>
    <row r="16" spans="2:13" x14ac:dyDescent="0.45">
      <c r="B16" s="538" t="s">
        <v>93</v>
      </c>
      <c r="C16" s="538"/>
      <c r="D16" s="312">
        <f>D14*D15</f>
        <v>0</v>
      </c>
      <c r="E16" s="311" t="s">
        <v>21</v>
      </c>
    </row>
    <row r="20" spans="2:2" ht="18.600000000000001" thickBot="1" x14ac:dyDescent="0.5">
      <c r="B20" t="s">
        <v>145</v>
      </c>
    </row>
    <row r="21" spans="2:2" ht="18.600000000000001" thickBot="1" x14ac:dyDescent="0.5">
      <c r="B21" s="72"/>
    </row>
    <row r="36" spans="7:10" x14ac:dyDescent="0.45">
      <c r="G36" s="58"/>
    </row>
    <row r="37" spans="7:10" x14ac:dyDescent="0.45">
      <c r="I37" s="40"/>
      <c r="J37" s="40"/>
    </row>
  </sheetData>
  <mergeCells count="7">
    <mergeCell ref="B15:C15"/>
    <mergeCell ref="B16:C16"/>
    <mergeCell ref="B10:C10"/>
    <mergeCell ref="B11:C11"/>
    <mergeCell ref="B12:C12"/>
    <mergeCell ref="B13:C13"/>
    <mergeCell ref="B14:C14"/>
  </mergeCells>
  <phoneticPr fontId="2"/>
  <hyperlinks>
    <hyperlink ref="M2" location="水処理対策シート!A1" display="クリックで対策シートに戻る" xr:uid="{ABDE7C72-8B48-43D5-9598-C1B8FC9B0275}"/>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58F81-18D3-45C4-9839-2C14CE3B61BB}">
  <sheetPr>
    <tabColor rgb="FF0070C0"/>
  </sheetPr>
  <dimension ref="B2:M36"/>
  <sheetViews>
    <sheetView zoomScale="80" zoomScaleNormal="80" workbookViewId="0"/>
  </sheetViews>
  <sheetFormatPr defaultRowHeight="18" x14ac:dyDescent="0.45"/>
  <cols>
    <col min="2" max="2" width="10.5" customWidth="1"/>
    <col min="3" max="4" width="11" bestFit="1" customWidth="1"/>
    <col min="5" max="5" width="20.19921875" customWidth="1"/>
    <col min="6" max="6" width="12.5" customWidth="1"/>
    <col min="7" max="7" width="15.8984375" customWidth="1"/>
    <col min="8" max="8" width="22.3984375" customWidth="1"/>
    <col min="9" max="9" width="12.09765625" customWidth="1"/>
    <col min="10" max="10" width="10.19921875" customWidth="1"/>
    <col min="11" max="11" width="15.09765625" bestFit="1" customWidth="1"/>
    <col min="13" max="13" width="17" customWidth="1"/>
    <col min="14" max="14" width="21.19921875" bestFit="1" customWidth="1"/>
    <col min="15" max="15" width="7.09765625" bestFit="1" customWidth="1"/>
  </cols>
  <sheetData>
    <row r="2" spans="2:13" ht="22.2" x14ac:dyDescent="0.45">
      <c r="B2" s="28" t="s">
        <v>202</v>
      </c>
      <c r="M2" s="242" t="s">
        <v>1151</v>
      </c>
    </row>
    <row r="3" spans="2:13" x14ac:dyDescent="0.45">
      <c r="B3" s="32" t="s">
        <v>94</v>
      </c>
      <c r="C3" s="33"/>
      <c r="D3" s="33"/>
      <c r="E3" s="33"/>
      <c r="H3" s="18"/>
      <c r="I3" t="s">
        <v>79</v>
      </c>
    </row>
    <row r="4" spans="2:13" x14ac:dyDescent="0.45">
      <c r="B4" s="309" t="s">
        <v>97</v>
      </c>
      <c r="C4" s="310"/>
      <c r="D4" s="310"/>
      <c r="E4" s="310"/>
      <c r="H4" s="7"/>
      <c r="I4" t="s">
        <v>80</v>
      </c>
    </row>
    <row r="5" spans="2:13" x14ac:dyDescent="0.45">
      <c r="H5" s="378"/>
      <c r="I5" t="s">
        <v>1401</v>
      </c>
    </row>
    <row r="6" spans="2:13" x14ac:dyDescent="0.45">
      <c r="H6" s="11"/>
      <c r="I6" t="s">
        <v>81</v>
      </c>
    </row>
    <row r="7" spans="2:13" x14ac:dyDescent="0.45">
      <c r="B7" s="31" t="s">
        <v>144</v>
      </c>
      <c r="C7" s="4"/>
    </row>
    <row r="8" spans="2:13" x14ac:dyDescent="0.45">
      <c r="B8" s="31" t="s">
        <v>1428</v>
      </c>
      <c r="C8" s="4"/>
    </row>
    <row r="10" spans="2:13" x14ac:dyDescent="0.45">
      <c r="B10" s="465" t="s">
        <v>153</v>
      </c>
      <c r="C10" s="465"/>
      <c r="D10" s="74" t="s">
        <v>123</v>
      </c>
      <c r="E10" s="75"/>
    </row>
    <row r="11" spans="2:13" x14ac:dyDescent="0.45">
      <c r="B11" s="465" t="s">
        <v>200</v>
      </c>
      <c r="C11" s="465"/>
      <c r="D11" s="57"/>
      <c r="E11" s="11" t="s">
        <v>84</v>
      </c>
      <c r="F11" s="4" t="s">
        <v>201</v>
      </c>
    </row>
    <row r="12" spans="2:13" x14ac:dyDescent="0.45">
      <c r="B12" s="465" t="s">
        <v>85</v>
      </c>
      <c r="C12" s="465"/>
      <c r="D12" s="73">
        <v>81</v>
      </c>
      <c r="E12" s="11" t="s">
        <v>86</v>
      </c>
      <c r="F12" s="4"/>
    </row>
    <row r="13" spans="2:13" x14ac:dyDescent="0.45">
      <c r="B13" s="465" t="s">
        <v>88</v>
      </c>
      <c r="C13" s="465"/>
      <c r="D13" s="8"/>
      <c r="E13" s="11" t="s">
        <v>89</v>
      </c>
      <c r="F13" s="4" t="s">
        <v>90</v>
      </c>
    </row>
    <row r="14" spans="2:13" x14ac:dyDescent="0.45">
      <c r="B14" s="465" t="s">
        <v>91</v>
      </c>
      <c r="C14" s="465"/>
      <c r="D14" s="56">
        <f>(D11*D12/100)*D13/100</f>
        <v>0</v>
      </c>
      <c r="E14" s="11" t="s">
        <v>84</v>
      </c>
      <c r="F14" s="4" t="s">
        <v>95</v>
      </c>
    </row>
    <row r="15" spans="2:13" x14ac:dyDescent="0.45">
      <c r="B15" s="465" t="s">
        <v>70</v>
      </c>
      <c r="C15" s="465"/>
      <c r="D15" s="378">
        <f>ツール入力シート①!C13</f>
        <v>0.25</v>
      </c>
      <c r="E15" s="11" t="s">
        <v>92</v>
      </c>
    </row>
    <row r="16" spans="2:13" x14ac:dyDescent="0.45">
      <c r="B16" s="538" t="s">
        <v>93</v>
      </c>
      <c r="C16" s="538"/>
      <c r="D16" s="312">
        <f>D14*D15</f>
        <v>0</v>
      </c>
      <c r="E16" s="311" t="s">
        <v>21</v>
      </c>
    </row>
    <row r="20" spans="2:2" x14ac:dyDescent="0.45">
      <c r="B20" t="s">
        <v>199</v>
      </c>
    </row>
    <row r="35" spans="7:10" x14ac:dyDescent="0.45">
      <c r="G35" s="58"/>
    </row>
    <row r="36" spans="7:10" x14ac:dyDescent="0.45">
      <c r="I36" s="40"/>
      <c r="J36" s="40"/>
    </row>
  </sheetData>
  <mergeCells count="7">
    <mergeCell ref="B16:C16"/>
    <mergeCell ref="B10:C10"/>
    <mergeCell ref="B11:C11"/>
    <mergeCell ref="B12:C12"/>
    <mergeCell ref="B13:C13"/>
    <mergeCell ref="B14:C14"/>
    <mergeCell ref="B15:C15"/>
  </mergeCells>
  <phoneticPr fontId="2"/>
  <hyperlinks>
    <hyperlink ref="M2" location="水処理対策シート!A1" display="クリックで対策シートに戻る" xr:uid="{EE2EC7C0-9618-43C2-B45D-16DA5C049065}"/>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62DAC-F5D4-4046-8066-B597C38F988A}">
  <sheetPr>
    <tabColor rgb="FF0070C0"/>
  </sheetPr>
  <dimension ref="B2:M39"/>
  <sheetViews>
    <sheetView zoomScale="80" zoomScaleNormal="80" workbookViewId="0"/>
  </sheetViews>
  <sheetFormatPr defaultRowHeight="18" x14ac:dyDescent="0.45"/>
  <cols>
    <col min="2" max="2" width="10.5" customWidth="1"/>
    <col min="3" max="3" width="11" customWidth="1"/>
    <col min="4" max="4" width="14.69921875" customWidth="1"/>
    <col min="5" max="5" width="31.19921875" customWidth="1"/>
    <col min="6" max="6" width="12.5" customWidth="1"/>
    <col min="11" max="11" width="15.09765625" bestFit="1" customWidth="1"/>
    <col min="13" max="13" width="17" customWidth="1"/>
    <col min="14" max="14" width="21.19921875" bestFit="1" customWidth="1"/>
    <col min="15" max="15" width="7.09765625" bestFit="1" customWidth="1"/>
  </cols>
  <sheetData>
    <row r="2" spans="2:13" ht="22.2" x14ac:dyDescent="0.45">
      <c r="B2" s="28" t="s">
        <v>203</v>
      </c>
      <c r="M2" s="242" t="s">
        <v>1151</v>
      </c>
    </row>
    <row r="3" spans="2:13" x14ac:dyDescent="0.45">
      <c r="B3" s="32" t="s">
        <v>94</v>
      </c>
      <c r="C3" s="33"/>
      <c r="D3" s="33"/>
      <c r="E3" s="33"/>
      <c r="H3" s="18"/>
      <c r="I3" t="s">
        <v>79</v>
      </c>
    </row>
    <row r="4" spans="2:13" x14ac:dyDescent="0.45">
      <c r="B4" s="309" t="s">
        <v>97</v>
      </c>
      <c r="C4" s="310"/>
      <c r="D4" s="310"/>
      <c r="E4" s="310"/>
      <c r="H4" s="7"/>
      <c r="I4" t="s">
        <v>80</v>
      </c>
    </row>
    <row r="5" spans="2:13" x14ac:dyDescent="0.45">
      <c r="H5" s="378"/>
      <c r="I5" t="s">
        <v>1401</v>
      </c>
    </row>
    <row r="6" spans="2:13" x14ac:dyDescent="0.45">
      <c r="H6" s="11"/>
      <c r="I6" t="s">
        <v>81</v>
      </c>
    </row>
    <row r="7" spans="2:13" x14ac:dyDescent="0.45">
      <c r="B7" s="31" t="s">
        <v>126</v>
      </c>
      <c r="C7" s="4"/>
      <c r="M7" s="4" t="s">
        <v>213</v>
      </c>
    </row>
    <row r="8" spans="2:13" x14ac:dyDescent="0.45">
      <c r="B8" s="31" t="s">
        <v>1427</v>
      </c>
      <c r="C8" s="4"/>
      <c r="M8" s="4"/>
    </row>
    <row r="10" spans="2:13" x14ac:dyDescent="0.45">
      <c r="B10" s="465" t="s">
        <v>153</v>
      </c>
      <c r="C10" s="465"/>
      <c r="D10" s="539" t="s">
        <v>154</v>
      </c>
      <c r="E10" s="540"/>
    </row>
    <row r="11" spans="2:13" x14ac:dyDescent="0.45">
      <c r="B11" s="465" t="s">
        <v>122</v>
      </c>
      <c r="C11" s="465"/>
      <c r="D11" s="57"/>
      <c r="E11" s="11" t="s">
        <v>84</v>
      </c>
    </row>
    <row r="12" spans="2:13" x14ac:dyDescent="0.45">
      <c r="B12" s="465" t="s">
        <v>85</v>
      </c>
      <c r="C12" s="465"/>
      <c r="D12" s="8"/>
      <c r="E12" s="11" t="s">
        <v>86</v>
      </c>
      <c r="F12" s="4" t="s">
        <v>124</v>
      </c>
    </row>
    <row r="13" spans="2:13" x14ac:dyDescent="0.45">
      <c r="B13" s="465" t="s">
        <v>88</v>
      </c>
      <c r="C13" s="465"/>
      <c r="D13" s="8"/>
      <c r="E13" s="11" t="s">
        <v>89</v>
      </c>
      <c r="F13" s="4" t="s">
        <v>90</v>
      </c>
    </row>
    <row r="14" spans="2:13" x14ac:dyDescent="0.45">
      <c r="B14" s="465" t="s">
        <v>91</v>
      </c>
      <c r="C14" s="465"/>
      <c r="D14" s="56">
        <f>(D11*D12/100)*D13/100</f>
        <v>0</v>
      </c>
      <c r="E14" s="11" t="s">
        <v>84</v>
      </c>
      <c r="F14" s="4" t="s">
        <v>95</v>
      </c>
    </row>
    <row r="15" spans="2:13" x14ac:dyDescent="0.45">
      <c r="B15" s="465" t="s">
        <v>70</v>
      </c>
      <c r="C15" s="465"/>
      <c r="D15" s="378">
        <f>ツール入力シート①!C13</f>
        <v>0.25</v>
      </c>
      <c r="E15" s="11" t="s">
        <v>92</v>
      </c>
    </row>
    <row r="16" spans="2:13" x14ac:dyDescent="0.45">
      <c r="B16" s="538" t="s">
        <v>93</v>
      </c>
      <c r="C16" s="538"/>
      <c r="D16" s="312">
        <f>D14*D15</f>
        <v>0</v>
      </c>
      <c r="E16" s="311" t="s">
        <v>21</v>
      </c>
    </row>
    <row r="19" spans="2:6" ht="18.600000000000001" thickBot="1" x14ac:dyDescent="0.5">
      <c r="B19" s="547" t="s">
        <v>125</v>
      </c>
      <c r="C19" s="547"/>
      <c r="D19" s="547"/>
      <c r="E19" s="547"/>
      <c r="F19" s="547"/>
    </row>
    <row r="20" spans="2:6" ht="36.6" thickBot="1" x14ac:dyDescent="0.5">
      <c r="B20" s="47" t="s">
        <v>121</v>
      </c>
      <c r="C20" s="48" t="s">
        <v>69</v>
      </c>
      <c r="D20" s="48" t="s">
        <v>112</v>
      </c>
      <c r="E20" s="49" t="s">
        <v>120</v>
      </c>
      <c r="F20" s="55" t="s">
        <v>85</v>
      </c>
    </row>
    <row r="21" spans="2:6" x14ac:dyDescent="0.45">
      <c r="B21" s="542" t="s">
        <v>116</v>
      </c>
      <c r="C21" s="544" t="s">
        <v>39</v>
      </c>
      <c r="D21" s="41" t="s">
        <v>113</v>
      </c>
      <c r="E21" s="42">
        <v>2610</v>
      </c>
      <c r="F21" s="50">
        <f>(E21-$E$23)/E21*100</f>
        <v>34.865900383141764</v>
      </c>
    </row>
    <row r="22" spans="2:6" x14ac:dyDescent="0.45">
      <c r="B22" s="543"/>
      <c r="C22" s="513"/>
      <c r="D22" s="43" t="s">
        <v>114</v>
      </c>
      <c r="E22" s="1">
        <v>2000</v>
      </c>
      <c r="F22" s="51">
        <f>(E22-$E$23)/E22*100</f>
        <v>15</v>
      </c>
    </row>
    <row r="23" spans="2:6" ht="18.600000000000001" thickBot="1" x14ac:dyDescent="0.5">
      <c r="B23" s="543"/>
      <c r="C23" s="513"/>
      <c r="D23" s="44" t="s">
        <v>115</v>
      </c>
      <c r="E23" s="45">
        <v>1700</v>
      </c>
      <c r="F23" s="52" t="s">
        <v>77</v>
      </c>
    </row>
    <row r="24" spans="2:6" x14ac:dyDescent="0.45">
      <c r="B24" s="543" t="s">
        <v>117</v>
      </c>
      <c r="C24" s="513"/>
      <c r="D24" s="41" t="s">
        <v>113</v>
      </c>
      <c r="E24" s="42">
        <v>12100</v>
      </c>
      <c r="F24" s="51">
        <f>(E24-$E$26)/E24*100</f>
        <v>26.859504132231404</v>
      </c>
    </row>
    <row r="25" spans="2:6" x14ac:dyDescent="0.45">
      <c r="B25" s="543"/>
      <c r="C25" s="513"/>
      <c r="D25" s="43" t="s">
        <v>114</v>
      </c>
      <c r="E25" s="1">
        <v>10200</v>
      </c>
      <c r="F25" s="51">
        <f>(E25-$E$26)/E25*100</f>
        <v>13.23529411764706</v>
      </c>
    </row>
    <row r="26" spans="2:6" ht="18.600000000000001" thickBot="1" x14ac:dyDescent="0.5">
      <c r="B26" s="543"/>
      <c r="C26" s="513"/>
      <c r="D26" s="44" t="s">
        <v>115</v>
      </c>
      <c r="E26" s="45">
        <v>8850</v>
      </c>
      <c r="F26" s="52" t="s">
        <v>77</v>
      </c>
    </row>
    <row r="27" spans="2:6" x14ac:dyDescent="0.45">
      <c r="B27" s="543" t="s">
        <v>118</v>
      </c>
      <c r="C27" s="513"/>
      <c r="D27" s="41" t="s">
        <v>113</v>
      </c>
      <c r="E27" s="42">
        <v>21300</v>
      </c>
      <c r="F27" s="51">
        <f>(E27-$E$29)/E27*100</f>
        <v>24.413145539906104</v>
      </c>
    </row>
    <row r="28" spans="2:6" x14ac:dyDescent="0.45">
      <c r="B28" s="543"/>
      <c r="C28" s="513"/>
      <c r="D28" s="43" t="s">
        <v>114</v>
      </c>
      <c r="E28" s="1">
        <v>19300</v>
      </c>
      <c r="F28" s="51">
        <f>(E28-$E$29)/E28*100</f>
        <v>16.580310880829018</v>
      </c>
    </row>
    <row r="29" spans="2:6" ht="18.600000000000001" thickBot="1" x14ac:dyDescent="0.5">
      <c r="B29" s="546"/>
      <c r="C29" s="545"/>
      <c r="D29" s="44" t="s">
        <v>115</v>
      </c>
      <c r="E29" s="45">
        <v>16100</v>
      </c>
      <c r="F29" s="53" t="s">
        <v>77</v>
      </c>
    </row>
    <row r="30" spans="2:6" x14ac:dyDescent="0.45">
      <c r="B30" s="542" t="s">
        <v>116</v>
      </c>
      <c r="C30" s="544" t="s">
        <v>119</v>
      </c>
      <c r="D30" s="41" t="s">
        <v>113</v>
      </c>
      <c r="E30" s="42">
        <v>2970</v>
      </c>
      <c r="F30" s="50">
        <f>(E30-$E$32)/E30*100</f>
        <v>29.966329966329969</v>
      </c>
    </row>
    <row r="31" spans="2:6" x14ac:dyDescent="0.45">
      <c r="B31" s="543"/>
      <c r="C31" s="513"/>
      <c r="D31" s="43" t="s">
        <v>114</v>
      </c>
      <c r="E31" s="1">
        <v>2460</v>
      </c>
      <c r="F31" s="51">
        <f>(E31-$E$32)/E31*100</f>
        <v>15.447154471544716</v>
      </c>
    </row>
    <row r="32" spans="2:6" ht="18.600000000000001" thickBot="1" x14ac:dyDescent="0.5">
      <c r="B32" s="543"/>
      <c r="C32" s="513"/>
      <c r="D32" s="44" t="s">
        <v>115</v>
      </c>
      <c r="E32" s="45">
        <v>2080</v>
      </c>
      <c r="F32" s="53" t="s">
        <v>77</v>
      </c>
    </row>
    <row r="33" spans="2:6" x14ac:dyDescent="0.45">
      <c r="B33" s="543" t="s">
        <v>117</v>
      </c>
      <c r="C33" s="513"/>
      <c r="D33" s="41" t="s">
        <v>113</v>
      </c>
      <c r="E33" s="42">
        <v>14100</v>
      </c>
      <c r="F33" s="50">
        <f>(E33-$E$35)/E33*100</f>
        <v>23.404255319148938</v>
      </c>
    </row>
    <row r="34" spans="2:6" x14ac:dyDescent="0.45">
      <c r="B34" s="543"/>
      <c r="C34" s="513"/>
      <c r="D34" s="43" t="s">
        <v>114</v>
      </c>
      <c r="E34" s="1">
        <v>12400</v>
      </c>
      <c r="F34" s="51">
        <f>(E34-$E$35)/E34*100</f>
        <v>12.903225806451612</v>
      </c>
    </row>
    <row r="35" spans="2:6" ht="18.600000000000001" thickBot="1" x14ac:dyDescent="0.5">
      <c r="B35" s="543"/>
      <c r="C35" s="513"/>
      <c r="D35" s="44" t="s">
        <v>115</v>
      </c>
      <c r="E35" s="45">
        <v>10800</v>
      </c>
      <c r="F35" s="53" t="s">
        <v>77</v>
      </c>
    </row>
    <row r="36" spans="2:6" x14ac:dyDescent="0.45">
      <c r="B36" s="543" t="s">
        <v>118</v>
      </c>
      <c r="C36" s="513"/>
      <c r="D36" s="46" t="s">
        <v>113</v>
      </c>
      <c r="E36" s="6">
        <v>24600</v>
      </c>
      <c r="F36" s="54">
        <f>(E36-$E$38)/E36*100</f>
        <v>19.105691056910569</v>
      </c>
    </row>
    <row r="37" spans="2:6" x14ac:dyDescent="0.45">
      <c r="B37" s="543"/>
      <c r="C37" s="513"/>
      <c r="D37" s="43" t="s">
        <v>114</v>
      </c>
      <c r="E37" s="1">
        <v>23200</v>
      </c>
      <c r="F37" s="51">
        <f>(E37-$E$38)/E37*100</f>
        <v>14.224137931034484</v>
      </c>
    </row>
    <row r="38" spans="2:6" ht="18.600000000000001" thickBot="1" x14ac:dyDescent="0.5">
      <c r="B38" s="546"/>
      <c r="C38" s="545"/>
      <c r="D38" s="44" t="s">
        <v>115</v>
      </c>
      <c r="E38" s="45">
        <v>19900</v>
      </c>
      <c r="F38" s="53" t="s">
        <v>77</v>
      </c>
    </row>
    <row r="39" spans="2:6" x14ac:dyDescent="0.45">
      <c r="B39" t="s">
        <v>228</v>
      </c>
    </row>
  </sheetData>
  <mergeCells count="17">
    <mergeCell ref="D10:E10"/>
    <mergeCell ref="B21:B23"/>
    <mergeCell ref="C21:C29"/>
    <mergeCell ref="B24:B26"/>
    <mergeCell ref="B27:B29"/>
    <mergeCell ref="B10:C10"/>
    <mergeCell ref="B11:C11"/>
    <mergeCell ref="B12:C12"/>
    <mergeCell ref="B13:C13"/>
    <mergeCell ref="B14:C14"/>
    <mergeCell ref="B15:C15"/>
    <mergeCell ref="B30:B32"/>
    <mergeCell ref="C30:C38"/>
    <mergeCell ref="B16:C16"/>
    <mergeCell ref="B33:B35"/>
    <mergeCell ref="B36:B38"/>
    <mergeCell ref="B19:F19"/>
  </mergeCells>
  <phoneticPr fontId="2"/>
  <hyperlinks>
    <hyperlink ref="M2" location="水処理対策シート!A1" display="クリックで対策シートに戻る" xr:uid="{257574A9-C754-4792-BC3F-25008CF4390B}"/>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5CF88-33A8-45C9-B26A-BABF7CCF9651}">
  <sheetPr codeName="Sheet4"/>
  <dimension ref="B3:F25"/>
  <sheetViews>
    <sheetView showGridLines="0" zoomScaleNormal="100" workbookViewId="0"/>
  </sheetViews>
  <sheetFormatPr defaultRowHeight="18" x14ac:dyDescent="0.45"/>
  <cols>
    <col min="2" max="2" width="38.69921875" bestFit="1" customWidth="1"/>
    <col min="3" max="3" width="38.69921875" customWidth="1"/>
    <col min="4" max="4" width="32.8984375" bestFit="1" customWidth="1"/>
    <col min="5" max="5" width="15.3984375" bestFit="1" customWidth="1"/>
    <col min="6" max="6" width="9.8984375" customWidth="1"/>
  </cols>
  <sheetData>
    <row r="3" spans="2:6" x14ac:dyDescent="0.45">
      <c r="B3" s="20" t="s">
        <v>43</v>
      </c>
      <c r="C3" s="14" t="s">
        <v>65</v>
      </c>
      <c r="D3" s="14" t="s">
        <v>1</v>
      </c>
      <c r="E3" s="452" t="s">
        <v>28</v>
      </c>
      <c r="F3" s="453"/>
    </row>
    <row r="4" spans="2:6" x14ac:dyDescent="0.45">
      <c r="B4" s="1" t="s">
        <v>44</v>
      </c>
      <c r="C4" s="1" t="s">
        <v>66</v>
      </c>
      <c r="D4" s="1" t="s">
        <v>2</v>
      </c>
      <c r="E4" s="1" t="s">
        <v>37</v>
      </c>
      <c r="F4" s="1" t="s">
        <v>1270</v>
      </c>
    </row>
    <row r="5" spans="2:6" x14ac:dyDescent="0.45">
      <c r="B5" s="1" t="s">
        <v>55</v>
      </c>
      <c r="C5" s="1" t="s">
        <v>67</v>
      </c>
      <c r="D5" s="1" t="s">
        <v>0</v>
      </c>
      <c r="E5" s="384">
        <v>-0.57399999999999995</v>
      </c>
      <c r="F5" s="384">
        <v>0.84089999999999998</v>
      </c>
    </row>
    <row r="6" spans="2:6" x14ac:dyDescent="0.45">
      <c r="B6" s="1" t="s">
        <v>45</v>
      </c>
      <c r="C6" s="1" t="s">
        <v>68</v>
      </c>
      <c r="D6" s="1" t="s">
        <v>39</v>
      </c>
      <c r="E6" s="384">
        <v>-0.51600000000000001</v>
      </c>
      <c r="F6" s="384">
        <v>0.92130000000000001</v>
      </c>
    </row>
    <row r="7" spans="2:6" x14ac:dyDescent="0.45">
      <c r="B7" s="1" t="s">
        <v>46</v>
      </c>
      <c r="C7" s="1"/>
      <c r="D7" s="1" t="s">
        <v>171</v>
      </c>
      <c r="E7" s="384">
        <v>-0.61199999999999999</v>
      </c>
      <c r="F7" s="384">
        <v>1.0823</v>
      </c>
    </row>
    <row r="8" spans="2:6" x14ac:dyDescent="0.45">
      <c r="B8" s="1" t="s">
        <v>57</v>
      </c>
      <c r="C8" s="1"/>
      <c r="D8" s="1" t="s">
        <v>67</v>
      </c>
      <c r="E8" s="384">
        <v>-0.63600000000000001</v>
      </c>
      <c r="F8" s="384">
        <v>1.4258999999999999</v>
      </c>
    </row>
    <row r="9" spans="2:6" x14ac:dyDescent="0.45">
      <c r="B9" s="1" t="s">
        <v>58</v>
      </c>
      <c r="C9" s="1"/>
      <c r="D9" s="1"/>
      <c r="E9" s="1"/>
      <c r="F9" s="1"/>
    </row>
    <row r="10" spans="2:6" x14ac:dyDescent="0.45">
      <c r="B10" s="1" t="s">
        <v>59</v>
      </c>
      <c r="C10" s="1"/>
      <c r="D10" s="1"/>
      <c r="E10" s="1"/>
      <c r="F10" s="1"/>
    </row>
    <row r="11" spans="2:6" x14ac:dyDescent="0.45">
      <c r="B11" s="1" t="s">
        <v>60</v>
      </c>
      <c r="C11" s="1"/>
      <c r="D11" s="1"/>
      <c r="E11" s="1"/>
      <c r="F11" s="1"/>
    </row>
    <row r="12" spans="2:6" x14ac:dyDescent="0.45">
      <c r="B12" s="1" t="s">
        <v>61</v>
      </c>
      <c r="C12" s="1"/>
      <c r="D12" s="1"/>
      <c r="E12" s="1"/>
      <c r="F12" s="1"/>
    </row>
    <row r="13" spans="2:6" x14ac:dyDescent="0.45">
      <c r="B13" s="1" t="s">
        <v>48</v>
      </c>
      <c r="C13" s="1"/>
      <c r="D13" s="1"/>
      <c r="E13" s="1"/>
      <c r="F13" s="1"/>
    </row>
    <row r="14" spans="2:6" x14ac:dyDescent="0.45">
      <c r="B14" s="1" t="s">
        <v>47</v>
      </c>
      <c r="C14" s="1"/>
      <c r="D14" s="1"/>
      <c r="E14" s="1"/>
      <c r="F14" s="1"/>
    </row>
    <row r="15" spans="2:6" x14ac:dyDescent="0.45">
      <c r="B15" s="1" t="s">
        <v>49</v>
      </c>
      <c r="C15" s="1"/>
      <c r="D15" s="1"/>
      <c r="E15" s="1"/>
      <c r="F15" s="1"/>
    </row>
    <row r="16" spans="2:6" x14ac:dyDescent="0.45">
      <c r="B16" s="1" t="s">
        <v>50</v>
      </c>
      <c r="C16" s="1"/>
      <c r="D16" s="1"/>
      <c r="E16" s="1"/>
      <c r="F16" s="1"/>
    </row>
    <row r="17" spans="2:6" x14ac:dyDescent="0.45">
      <c r="B17" s="1" t="s">
        <v>62</v>
      </c>
      <c r="C17" s="1"/>
      <c r="D17" s="1"/>
      <c r="E17" s="1"/>
      <c r="F17" s="1"/>
    </row>
    <row r="18" spans="2:6" x14ac:dyDescent="0.45">
      <c r="B18" s="1" t="s">
        <v>51</v>
      </c>
      <c r="C18" s="1"/>
      <c r="D18" s="1"/>
      <c r="E18" s="1"/>
      <c r="F18" s="1"/>
    </row>
    <row r="19" spans="2:6" x14ac:dyDescent="0.45">
      <c r="B19" s="1" t="s">
        <v>52</v>
      </c>
      <c r="C19" s="1"/>
      <c r="D19" s="1"/>
      <c r="E19" s="1"/>
      <c r="F19" s="1"/>
    </row>
    <row r="20" spans="2:6" x14ac:dyDescent="0.45">
      <c r="B20" s="1" t="s">
        <v>53</v>
      </c>
      <c r="C20" s="1"/>
      <c r="D20" s="1"/>
      <c r="E20" s="1"/>
      <c r="F20" s="1"/>
    </row>
    <row r="21" spans="2:6" x14ac:dyDescent="0.45">
      <c r="B21" s="1" t="s">
        <v>63</v>
      </c>
      <c r="C21" s="1"/>
      <c r="D21" s="1"/>
      <c r="E21" s="1"/>
      <c r="F21" s="1"/>
    </row>
    <row r="22" spans="2:6" x14ac:dyDescent="0.45">
      <c r="B22" s="1" t="s">
        <v>54</v>
      </c>
      <c r="C22" s="1"/>
      <c r="D22" s="1"/>
      <c r="E22" s="1"/>
      <c r="F22" s="1"/>
    </row>
    <row r="23" spans="2:6" x14ac:dyDescent="0.45">
      <c r="B23" s="1" t="s">
        <v>56</v>
      </c>
      <c r="C23" s="1"/>
      <c r="D23" s="1"/>
      <c r="E23" s="1"/>
      <c r="F23" s="1"/>
    </row>
    <row r="24" spans="2:6" x14ac:dyDescent="0.45">
      <c r="B24" s="1" t="s">
        <v>73</v>
      </c>
      <c r="C24" s="1"/>
      <c r="D24" s="1"/>
      <c r="E24" s="1"/>
      <c r="F24" s="1"/>
    </row>
    <row r="25" spans="2:6" x14ac:dyDescent="0.45">
      <c r="B25" s="1" t="s">
        <v>74</v>
      </c>
      <c r="C25" s="1"/>
      <c r="D25" s="1"/>
      <c r="E25" s="1"/>
      <c r="F25" s="1"/>
    </row>
  </sheetData>
  <mergeCells count="1">
    <mergeCell ref="E3:F3"/>
  </mergeCells>
  <phoneticPr fontId="2"/>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F7A8BB-B9CA-49C6-BBA8-D97432F6FA99}">
  <sheetPr>
    <tabColor rgb="FF0070C0"/>
  </sheetPr>
  <dimension ref="B2:M19"/>
  <sheetViews>
    <sheetView zoomScale="80" zoomScaleNormal="80" workbookViewId="0"/>
  </sheetViews>
  <sheetFormatPr defaultRowHeight="18" x14ac:dyDescent="0.45"/>
  <cols>
    <col min="2" max="2" width="10.5" customWidth="1"/>
    <col min="3" max="3" width="11" customWidth="1"/>
    <col min="4" max="4" width="14.69921875" customWidth="1"/>
    <col min="5" max="5" width="31.19921875" customWidth="1"/>
    <col min="6" max="6" width="12.5" customWidth="1"/>
    <col min="11" max="11" width="15.09765625" bestFit="1" customWidth="1"/>
    <col min="13" max="13" width="17" customWidth="1"/>
    <col min="14" max="14" width="21.19921875" bestFit="1" customWidth="1"/>
    <col min="15" max="15" width="7.09765625" bestFit="1" customWidth="1"/>
  </cols>
  <sheetData>
    <row r="2" spans="2:13" ht="22.2" x14ac:dyDescent="0.45">
      <c r="B2" s="28" t="s">
        <v>207</v>
      </c>
      <c r="M2" s="242" t="s">
        <v>1151</v>
      </c>
    </row>
    <row r="3" spans="2:13" x14ac:dyDescent="0.45">
      <c r="B3" s="32" t="s">
        <v>94</v>
      </c>
      <c r="C3" s="33"/>
      <c r="D3" s="33"/>
      <c r="E3" s="33"/>
      <c r="H3" s="18"/>
      <c r="I3" t="s">
        <v>79</v>
      </c>
    </row>
    <row r="4" spans="2:13" x14ac:dyDescent="0.45">
      <c r="B4" s="309" t="s">
        <v>97</v>
      </c>
      <c r="C4" s="310"/>
      <c r="D4" s="310"/>
      <c r="E4" s="310"/>
      <c r="H4" s="7"/>
      <c r="I4" t="s">
        <v>80</v>
      </c>
    </row>
    <row r="5" spans="2:13" x14ac:dyDescent="0.45">
      <c r="H5" s="378"/>
      <c r="I5" t="s">
        <v>1401</v>
      </c>
    </row>
    <row r="6" spans="2:13" x14ac:dyDescent="0.45">
      <c r="H6" s="11"/>
      <c r="I6" t="s">
        <v>81</v>
      </c>
    </row>
    <row r="7" spans="2:13" x14ac:dyDescent="0.45">
      <c r="B7" s="31" t="s">
        <v>209</v>
      </c>
      <c r="C7" s="4"/>
      <c r="K7" s="4"/>
      <c r="M7" s="4" t="s">
        <v>213</v>
      </c>
    </row>
    <row r="8" spans="2:13" x14ac:dyDescent="0.45">
      <c r="B8" s="31" t="s">
        <v>1426</v>
      </c>
      <c r="C8" s="4"/>
      <c r="K8" s="4"/>
      <c r="M8" s="4"/>
    </row>
    <row r="10" spans="2:13" x14ac:dyDescent="0.45">
      <c r="B10" s="465" t="s">
        <v>153</v>
      </c>
      <c r="C10" s="465"/>
      <c r="D10" s="539" t="s">
        <v>39</v>
      </c>
      <c r="E10" s="540"/>
    </row>
    <row r="11" spans="2:13" x14ac:dyDescent="0.45">
      <c r="B11" s="465" t="s">
        <v>210</v>
      </c>
      <c r="C11" s="465"/>
      <c r="D11" s="57"/>
      <c r="E11" s="11" t="s">
        <v>84</v>
      </c>
      <c r="F11" t="s">
        <v>212</v>
      </c>
    </row>
    <row r="12" spans="2:13" x14ac:dyDescent="0.45">
      <c r="B12" s="465" t="s">
        <v>85</v>
      </c>
      <c r="C12" s="465"/>
      <c r="D12" s="11">
        <v>62</v>
      </c>
      <c r="E12" s="11" t="s">
        <v>86</v>
      </c>
      <c r="F12" s="4"/>
    </row>
    <row r="13" spans="2:13" x14ac:dyDescent="0.45">
      <c r="B13" s="465" t="s">
        <v>88</v>
      </c>
      <c r="C13" s="465"/>
      <c r="D13" s="8"/>
      <c r="E13" s="11" t="s">
        <v>89</v>
      </c>
      <c r="F13" s="4" t="s">
        <v>90</v>
      </c>
    </row>
    <row r="14" spans="2:13" x14ac:dyDescent="0.45">
      <c r="B14" s="465" t="s">
        <v>91</v>
      </c>
      <c r="C14" s="465"/>
      <c r="D14" s="56">
        <f>(D11*D12/100)*D13/100</f>
        <v>0</v>
      </c>
      <c r="E14" s="11" t="s">
        <v>84</v>
      </c>
      <c r="F14" s="4"/>
    </row>
    <row r="15" spans="2:13" x14ac:dyDescent="0.45">
      <c r="B15" s="465" t="s">
        <v>70</v>
      </c>
      <c r="C15" s="465"/>
      <c r="D15" s="378">
        <f>ツール入力シート①!C13</f>
        <v>0.25</v>
      </c>
      <c r="E15" s="11" t="s">
        <v>92</v>
      </c>
    </row>
    <row r="16" spans="2:13" x14ac:dyDescent="0.45">
      <c r="B16" s="538" t="s">
        <v>93</v>
      </c>
      <c r="C16" s="538"/>
      <c r="D16" s="312">
        <f>D14*D15</f>
        <v>0</v>
      </c>
      <c r="E16" s="311" t="s">
        <v>21</v>
      </c>
    </row>
    <row r="19" spans="2:2" x14ac:dyDescent="0.45">
      <c r="B19" t="s">
        <v>224</v>
      </c>
    </row>
  </sheetData>
  <mergeCells count="8">
    <mergeCell ref="B15:C15"/>
    <mergeCell ref="B16:C16"/>
    <mergeCell ref="B10:C10"/>
    <mergeCell ref="D10:E10"/>
    <mergeCell ref="B11:C11"/>
    <mergeCell ref="B12:C12"/>
    <mergeCell ref="B13:C13"/>
    <mergeCell ref="B14:C14"/>
  </mergeCells>
  <phoneticPr fontId="2"/>
  <hyperlinks>
    <hyperlink ref="M2" location="水処理対策シート!A1" display="クリックで対策シートに戻る" xr:uid="{649AA4C9-3AB7-4109-A52B-179335118B2D}"/>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CEBE3-D238-40D0-91BB-14DEF3B56803}">
  <sheetPr>
    <tabColor rgb="FF0070C0"/>
  </sheetPr>
  <dimension ref="A2:N21"/>
  <sheetViews>
    <sheetView zoomScale="80" zoomScaleNormal="80" workbookViewId="0"/>
  </sheetViews>
  <sheetFormatPr defaultRowHeight="18" x14ac:dyDescent="0.45"/>
  <cols>
    <col min="2" max="2" width="10.5" customWidth="1"/>
    <col min="3" max="3" width="11" customWidth="1"/>
    <col min="4" max="4" width="14.69921875" customWidth="1"/>
    <col min="5" max="5" width="31.19921875" customWidth="1"/>
    <col min="6" max="6" width="15.09765625" bestFit="1" customWidth="1"/>
    <col min="7" max="7" width="12.5" customWidth="1"/>
    <col min="12" max="12" width="15.09765625" bestFit="1" customWidth="1"/>
    <col min="14" max="14" width="17" customWidth="1"/>
    <col min="15" max="15" width="21.19921875" bestFit="1" customWidth="1"/>
    <col min="16" max="16" width="7.09765625" bestFit="1" customWidth="1"/>
  </cols>
  <sheetData>
    <row r="2" spans="1:14" ht="22.2" x14ac:dyDescent="0.45">
      <c r="B2" s="28" t="s">
        <v>216</v>
      </c>
      <c r="L2" s="242" t="s">
        <v>1151</v>
      </c>
    </row>
    <row r="3" spans="1:14" x14ac:dyDescent="0.45">
      <c r="B3" s="32" t="s">
        <v>94</v>
      </c>
      <c r="C3" s="33"/>
      <c r="D3" s="33"/>
      <c r="E3" s="33"/>
      <c r="F3" s="98"/>
      <c r="I3" s="18"/>
      <c r="J3" t="s">
        <v>79</v>
      </c>
    </row>
    <row r="4" spans="1:14" x14ac:dyDescent="0.45">
      <c r="B4" s="309" t="s">
        <v>97</v>
      </c>
      <c r="C4" s="310"/>
      <c r="D4" s="310"/>
      <c r="E4" s="310"/>
      <c r="I4" s="7"/>
      <c r="J4" t="s">
        <v>80</v>
      </c>
    </row>
    <row r="5" spans="1:14" x14ac:dyDescent="0.45">
      <c r="I5" s="378"/>
      <c r="J5" t="s">
        <v>1401</v>
      </c>
    </row>
    <row r="6" spans="1:14" x14ac:dyDescent="0.45">
      <c r="I6" s="11"/>
      <c r="J6" t="s">
        <v>81</v>
      </c>
    </row>
    <row r="7" spans="1:14" x14ac:dyDescent="0.45">
      <c r="B7" s="31" t="s">
        <v>215</v>
      </c>
      <c r="C7" s="4"/>
      <c r="L7" s="4"/>
      <c r="N7" s="4" t="s">
        <v>213</v>
      </c>
    </row>
    <row r="8" spans="1:14" x14ac:dyDescent="0.45">
      <c r="B8" s="31" t="s">
        <v>1425</v>
      </c>
      <c r="C8" s="4"/>
      <c r="L8" s="4"/>
      <c r="N8" s="4"/>
    </row>
    <row r="10" spans="1:14" x14ac:dyDescent="0.45">
      <c r="B10" s="465" t="s">
        <v>153</v>
      </c>
      <c r="C10" s="465"/>
      <c r="D10" s="539" t="s">
        <v>39</v>
      </c>
      <c r="E10" s="540"/>
      <c r="F10" s="26" t="s">
        <v>1509</v>
      </c>
    </row>
    <row r="11" spans="1:14" x14ac:dyDescent="0.45">
      <c r="A11" s="168" t="s">
        <v>1504</v>
      </c>
      <c r="B11" s="465" t="s">
        <v>210</v>
      </c>
      <c r="C11" s="465"/>
      <c r="D11" s="57"/>
      <c r="E11" s="11" t="s">
        <v>84</v>
      </c>
      <c r="F11" s="26"/>
      <c r="G11" t="s">
        <v>212</v>
      </c>
    </row>
    <row r="12" spans="1:14" x14ac:dyDescent="0.45">
      <c r="A12" s="168" t="s">
        <v>1505</v>
      </c>
      <c r="B12" s="548" t="s">
        <v>1500</v>
      </c>
      <c r="C12" s="549"/>
      <c r="D12" s="57"/>
      <c r="E12" s="11" t="s">
        <v>1502</v>
      </c>
      <c r="F12" s="26"/>
    </row>
    <row r="13" spans="1:14" x14ac:dyDescent="0.45">
      <c r="A13" s="168" t="s">
        <v>1506</v>
      </c>
      <c r="B13" s="548" t="s">
        <v>1501</v>
      </c>
      <c r="C13" s="549"/>
      <c r="D13" s="11">
        <v>0.105</v>
      </c>
      <c r="E13" s="11" t="s">
        <v>1503</v>
      </c>
      <c r="F13" s="26"/>
    </row>
    <row r="14" spans="1:14" x14ac:dyDescent="0.45">
      <c r="A14" s="168" t="s">
        <v>1507</v>
      </c>
      <c r="B14" s="465" t="s">
        <v>211</v>
      </c>
      <c r="C14" s="465"/>
      <c r="D14" s="7">
        <f>D12*D13</f>
        <v>0</v>
      </c>
      <c r="E14" s="11" t="s">
        <v>214</v>
      </c>
      <c r="F14" s="26" t="s">
        <v>1510</v>
      </c>
      <c r="G14" s="4"/>
    </row>
    <row r="15" spans="1:14" x14ac:dyDescent="0.45">
      <c r="A15" s="168" t="s">
        <v>1508</v>
      </c>
      <c r="B15" s="465" t="s">
        <v>88</v>
      </c>
      <c r="C15" s="465"/>
      <c r="D15" s="8">
        <v>100</v>
      </c>
      <c r="E15" s="11" t="s">
        <v>89</v>
      </c>
      <c r="F15" s="26"/>
      <c r="G15" s="4" t="s">
        <v>90</v>
      </c>
    </row>
    <row r="16" spans="1:14" x14ac:dyDescent="0.45">
      <c r="B16" s="465" t="s">
        <v>91</v>
      </c>
      <c r="C16" s="465"/>
      <c r="D16" s="56">
        <f>(D11-D14)*D15/100</f>
        <v>0</v>
      </c>
      <c r="E16" s="11" t="s">
        <v>84</v>
      </c>
      <c r="F16" s="26" t="s">
        <v>1511</v>
      </c>
      <c r="G16" s="4"/>
    </row>
    <row r="17" spans="2:6" x14ac:dyDescent="0.45">
      <c r="B17" s="465" t="s">
        <v>70</v>
      </c>
      <c r="C17" s="465"/>
      <c r="D17" s="378">
        <f>ツール入力シート①!C13</f>
        <v>0.25</v>
      </c>
      <c r="E17" s="11" t="s">
        <v>92</v>
      </c>
      <c r="F17" s="26"/>
    </row>
    <row r="18" spans="2:6" x14ac:dyDescent="0.45">
      <c r="B18" s="538" t="s">
        <v>93</v>
      </c>
      <c r="C18" s="538"/>
      <c r="D18" s="312">
        <f>D16*D17</f>
        <v>0</v>
      </c>
      <c r="E18" s="311" t="s">
        <v>21</v>
      </c>
      <c r="F18" s="11"/>
    </row>
    <row r="21" spans="2:6" x14ac:dyDescent="0.45">
      <c r="B21" t="s">
        <v>223</v>
      </c>
    </row>
  </sheetData>
  <mergeCells count="10">
    <mergeCell ref="B17:C17"/>
    <mergeCell ref="B18:C18"/>
    <mergeCell ref="B10:C10"/>
    <mergeCell ref="D10:E10"/>
    <mergeCell ref="B11:C11"/>
    <mergeCell ref="B14:C14"/>
    <mergeCell ref="B15:C15"/>
    <mergeCell ref="B16:C16"/>
    <mergeCell ref="B12:C12"/>
    <mergeCell ref="B13:C13"/>
  </mergeCells>
  <phoneticPr fontId="2"/>
  <hyperlinks>
    <hyperlink ref="L2" location="水処理対策シート!A1" display="クリックで対策シートに戻る" xr:uid="{FE8686CD-B60F-4092-B7E9-2D569A3757A2}"/>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757192-28BF-45E4-A6E1-8CE0C680BD0C}">
  <sheetPr>
    <tabColor rgb="FF0070C0"/>
  </sheetPr>
  <dimension ref="B2:M25"/>
  <sheetViews>
    <sheetView zoomScale="80" zoomScaleNormal="80" workbookViewId="0"/>
  </sheetViews>
  <sheetFormatPr defaultRowHeight="18" x14ac:dyDescent="0.45"/>
  <cols>
    <col min="2" max="2" width="10.5" customWidth="1"/>
    <col min="3" max="3" width="11" customWidth="1"/>
    <col min="4" max="4" width="14.69921875" customWidth="1"/>
    <col min="5" max="5" width="31.19921875" customWidth="1"/>
    <col min="6" max="6" width="12.5" customWidth="1"/>
    <col min="11" max="11" width="15.09765625" bestFit="1" customWidth="1"/>
    <col min="13" max="13" width="17" customWidth="1"/>
    <col min="14" max="14" width="21.19921875" bestFit="1" customWidth="1"/>
    <col min="15" max="15" width="7.09765625" bestFit="1" customWidth="1"/>
  </cols>
  <sheetData>
    <row r="2" spans="2:13" ht="22.2" x14ac:dyDescent="0.45">
      <c r="B2" s="28" t="s">
        <v>219</v>
      </c>
      <c r="M2" s="242" t="s">
        <v>1151</v>
      </c>
    </row>
    <row r="3" spans="2:13" x14ac:dyDescent="0.45">
      <c r="B3" s="32" t="s">
        <v>94</v>
      </c>
      <c r="C3" s="33"/>
      <c r="D3" s="33"/>
      <c r="E3" s="33"/>
      <c r="H3" s="18"/>
      <c r="I3" t="s">
        <v>79</v>
      </c>
    </row>
    <row r="4" spans="2:13" x14ac:dyDescent="0.45">
      <c r="B4" s="309" t="s">
        <v>97</v>
      </c>
      <c r="C4" s="310"/>
      <c r="D4" s="310"/>
      <c r="E4" s="310"/>
      <c r="H4" s="7"/>
      <c r="I4" t="s">
        <v>80</v>
      </c>
    </row>
    <row r="5" spans="2:13" x14ac:dyDescent="0.45">
      <c r="H5" s="378"/>
      <c r="I5" t="s">
        <v>1401</v>
      </c>
    </row>
    <row r="6" spans="2:13" x14ac:dyDescent="0.45">
      <c r="H6" s="11"/>
      <c r="I6" t="s">
        <v>81</v>
      </c>
    </row>
    <row r="7" spans="2:13" x14ac:dyDescent="0.45">
      <c r="B7" s="31" t="s">
        <v>220</v>
      </c>
      <c r="C7" s="4"/>
      <c r="K7" s="4"/>
      <c r="M7" s="4" t="s">
        <v>213</v>
      </c>
    </row>
    <row r="8" spans="2:13" x14ac:dyDescent="0.45">
      <c r="B8" s="31" t="s">
        <v>1424</v>
      </c>
      <c r="C8" s="4"/>
      <c r="K8" s="4"/>
      <c r="M8" s="4"/>
    </row>
    <row r="10" spans="2:13" x14ac:dyDescent="0.45">
      <c r="B10" s="465" t="s">
        <v>153</v>
      </c>
      <c r="C10" s="465"/>
      <c r="D10" s="539" t="s">
        <v>222</v>
      </c>
      <c r="E10" s="540"/>
    </row>
    <row r="11" spans="2:13" x14ac:dyDescent="0.45">
      <c r="B11" s="465" t="s">
        <v>210</v>
      </c>
      <c r="C11" s="465"/>
      <c r="D11" s="57"/>
      <c r="E11" s="11" t="s">
        <v>84</v>
      </c>
      <c r="F11" t="s">
        <v>212</v>
      </c>
    </row>
    <row r="12" spans="2:13" x14ac:dyDescent="0.45">
      <c r="B12" s="465" t="s">
        <v>85</v>
      </c>
      <c r="C12" s="465"/>
      <c r="D12" s="8"/>
      <c r="E12" s="11" t="s">
        <v>86</v>
      </c>
      <c r="F12" s="4" t="s">
        <v>124</v>
      </c>
    </row>
    <row r="13" spans="2:13" x14ac:dyDescent="0.45">
      <c r="B13" s="465" t="s">
        <v>88</v>
      </c>
      <c r="C13" s="465"/>
      <c r="D13" s="8"/>
      <c r="E13" s="11" t="s">
        <v>89</v>
      </c>
      <c r="F13" s="4" t="s">
        <v>90</v>
      </c>
    </row>
    <row r="14" spans="2:13" x14ac:dyDescent="0.45">
      <c r="B14" s="465" t="s">
        <v>91</v>
      </c>
      <c r="C14" s="465"/>
      <c r="D14" s="56">
        <f>(D11*D12/100)*D13/100</f>
        <v>0</v>
      </c>
      <c r="E14" s="11" t="s">
        <v>84</v>
      </c>
      <c r="F14" s="4"/>
    </row>
    <row r="15" spans="2:13" x14ac:dyDescent="0.45">
      <c r="B15" s="465" t="s">
        <v>70</v>
      </c>
      <c r="C15" s="465"/>
      <c r="D15" s="378">
        <f>ツール入力シート①!C13</f>
        <v>0.25</v>
      </c>
      <c r="E15" s="11" t="s">
        <v>92</v>
      </c>
    </row>
    <row r="16" spans="2:13" x14ac:dyDescent="0.45">
      <c r="B16" s="538" t="s">
        <v>93</v>
      </c>
      <c r="C16" s="538"/>
      <c r="D16" s="312">
        <f>D14*D15</f>
        <v>0</v>
      </c>
      <c r="E16" s="311" t="s">
        <v>21</v>
      </c>
    </row>
    <row r="19" spans="2:5" ht="18.600000000000001" thickBot="1" x14ac:dyDescent="0.5">
      <c r="B19" s="547" t="s">
        <v>125</v>
      </c>
      <c r="C19" s="547"/>
      <c r="D19" s="547"/>
      <c r="E19" s="4" t="s">
        <v>484</v>
      </c>
    </row>
    <row r="20" spans="2:5" x14ac:dyDescent="0.45">
      <c r="B20" s="60"/>
      <c r="C20" s="61" t="s">
        <v>39</v>
      </c>
      <c r="D20" s="61" t="s">
        <v>225</v>
      </c>
    </row>
    <row r="21" spans="2:5" ht="18.600000000000001" thickBot="1" x14ac:dyDescent="0.5">
      <c r="B21" s="68" t="s">
        <v>137</v>
      </c>
      <c r="C21" s="69">
        <v>12</v>
      </c>
      <c r="D21" s="70">
        <v>10</v>
      </c>
    </row>
    <row r="25" spans="2:5" x14ac:dyDescent="0.45">
      <c r="B25" t="s">
        <v>221</v>
      </c>
    </row>
  </sheetData>
  <mergeCells count="9">
    <mergeCell ref="B15:C15"/>
    <mergeCell ref="B16:C16"/>
    <mergeCell ref="B19:D19"/>
    <mergeCell ref="B10:C10"/>
    <mergeCell ref="D10:E10"/>
    <mergeCell ref="B11:C11"/>
    <mergeCell ref="B12:C12"/>
    <mergeCell ref="B13:C13"/>
    <mergeCell ref="B14:C14"/>
  </mergeCells>
  <phoneticPr fontId="2"/>
  <hyperlinks>
    <hyperlink ref="M2" location="水処理対策シート!A1" display="クリックで対策シートに戻る" xr:uid="{314BDA90-286F-4B7F-848B-A87BFAB9953F}"/>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E6638-E88A-436D-A923-7AD35A72D709}">
  <sheetPr>
    <tabColor theme="5" tint="-0.499984740745262"/>
  </sheetPr>
  <dimension ref="B2:M42"/>
  <sheetViews>
    <sheetView zoomScale="80" zoomScaleNormal="80" workbookViewId="0"/>
  </sheetViews>
  <sheetFormatPr defaultRowHeight="18" x14ac:dyDescent="0.45"/>
  <cols>
    <col min="2" max="2" width="15.59765625" customWidth="1"/>
    <col min="3" max="3" width="22.59765625" customWidth="1"/>
    <col min="4" max="4" width="11" bestFit="1" customWidth="1"/>
    <col min="5" max="5" width="13.09765625" bestFit="1" customWidth="1"/>
    <col min="6" max="6" width="12.5" customWidth="1"/>
    <col min="7" max="7" width="15.8984375" customWidth="1"/>
    <col min="8" max="8" width="22.3984375" customWidth="1"/>
    <col min="9" max="9" width="12.09765625" customWidth="1"/>
    <col min="10" max="11" width="14.19921875" customWidth="1"/>
    <col min="12" max="12" width="21.19921875" bestFit="1" customWidth="1"/>
    <col min="13" max="13" width="7.09765625" bestFit="1" customWidth="1"/>
  </cols>
  <sheetData>
    <row r="2" spans="2:13" ht="22.2" x14ac:dyDescent="0.45">
      <c r="B2" s="28" t="s">
        <v>151</v>
      </c>
      <c r="M2" s="242" t="s">
        <v>1151</v>
      </c>
    </row>
    <row r="3" spans="2:13" x14ac:dyDescent="0.45">
      <c r="B3" s="32" t="s">
        <v>94</v>
      </c>
      <c r="C3" s="33"/>
      <c r="D3" s="33"/>
      <c r="E3" s="33"/>
      <c r="H3" s="18"/>
      <c r="I3" t="s">
        <v>79</v>
      </c>
    </row>
    <row r="4" spans="2:13" x14ac:dyDescent="0.45">
      <c r="B4" s="309" t="s">
        <v>97</v>
      </c>
      <c r="C4" s="310"/>
      <c r="D4" s="310"/>
      <c r="E4" s="310"/>
      <c r="H4" s="7"/>
      <c r="I4" t="s">
        <v>80</v>
      </c>
    </row>
    <row r="5" spans="2:13" x14ac:dyDescent="0.45">
      <c r="H5" s="378"/>
      <c r="I5" t="s">
        <v>1401</v>
      </c>
    </row>
    <row r="6" spans="2:13" x14ac:dyDescent="0.45">
      <c r="H6" s="11"/>
      <c r="I6" t="s">
        <v>81</v>
      </c>
    </row>
    <row r="7" spans="2:13" x14ac:dyDescent="0.45">
      <c r="B7" s="31" t="s">
        <v>180</v>
      </c>
      <c r="C7" s="4"/>
    </row>
    <row r="8" spans="2:13" x14ac:dyDescent="0.45">
      <c r="B8" s="31" t="s">
        <v>1428</v>
      </c>
      <c r="C8" s="4"/>
    </row>
    <row r="10" spans="2:13" x14ac:dyDescent="0.45">
      <c r="B10" s="465" t="s">
        <v>152</v>
      </c>
      <c r="C10" s="465"/>
      <c r="D10" s="539" t="s">
        <v>156</v>
      </c>
      <c r="E10" s="540"/>
    </row>
    <row r="11" spans="2:13" x14ac:dyDescent="0.45">
      <c r="B11" s="465" t="s">
        <v>157</v>
      </c>
      <c r="C11" s="465"/>
      <c r="D11" s="57"/>
      <c r="E11" s="11" t="s">
        <v>84</v>
      </c>
    </row>
    <row r="12" spans="2:13" x14ac:dyDescent="0.45">
      <c r="B12" s="465" t="s">
        <v>85</v>
      </c>
      <c r="C12" s="465"/>
      <c r="D12" s="8"/>
      <c r="E12" s="11" t="s">
        <v>86</v>
      </c>
      <c r="F12" s="4" t="s">
        <v>124</v>
      </c>
    </row>
    <row r="13" spans="2:13" x14ac:dyDescent="0.45">
      <c r="B13" s="465" t="s">
        <v>88</v>
      </c>
      <c r="C13" s="465"/>
      <c r="D13" s="8"/>
      <c r="E13" s="11" t="s">
        <v>89</v>
      </c>
      <c r="F13" s="4" t="s">
        <v>90</v>
      </c>
    </row>
    <row r="14" spans="2:13" x14ac:dyDescent="0.45">
      <c r="B14" s="465" t="s">
        <v>91</v>
      </c>
      <c r="C14" s="465"/>
      <c r="D14" s="56">
        <f>(D11*D12/100)*D13/100</f>
        <v>0</v>
      </c>
      <c r="E14" s="11" t="s">
        <v>84</v>
      </c>
      <c r="F14" s="4" t="s">
        <v>95</v>
      </c>
    </row>
    <row r="15" spans="2:13" x14ac:dyDescent="0.45">
      <c r="B15" s="465" t="s">
        <v>70</v>
      </c>
      <c r="C15" s="465"/>
      <c r="D15" s="378">
        <f>ツール入力シート①!C13</f>
        <v>0.25</v>
      </c>
      <c r="E15" s="11" t="s">
        <v>92</v>
      </c>
    </row>
    <row r="16" spans="2:13" x14ac:dyDescent="0.45">
      <c r="B16" s="538" t="s">
        <v>93</v>
      </c>
      <c r="C16" s="538"/>
      <c r="D16" s="312">
        <f>D14*D15</f>
        <v>0</v>
      </c>
      <c r="E16" s="311" t="s">
        <v>21</v>
      </c>
    </row>
    <row r="19" spans="2:6" x14ac:dyDescent="0.45">
      <c r="B19" s="541" t="s">
        <v>125</v>
      </c>
      <c r="C19" s="541"/>
      <c r="D19" s="4"/>
      <c r="E19" s="4"/>
      <c r="F19" s="4"/>
    </row>
    <row r="20" spans="2:6" ht="36" x14ac:dyDescent="0.45">
      <c r="B20" s="16" t="s">
        <v>158</v>
      </c>
      <c r="C20" s="76" t="s">
        <v>162</v>
      </c>
      <c r="E20" s="59"/>
      <c r="F20" s="4"/>
    </row>
    <row r="21" spans="2:6" ht="36" x14ac:dyDescent="0.45">
      <c r="B21" s="17" t="s">
        <v>159</v>
      </c>
      <c r="C21" s="77">
        <v>12</v>
      </c>
      <c r="D21" s="59"/>
      <c r="E21" s="59"/>
      <c r="F21" s="4"/>
    </row>
    <row r="22" spans="2:6" ht="36" x14ac:dyDescent="0.45">
      <c r="B22" s="17" t="s">
        <v>160</v>
      </c>
      <c r="C22" s="77">
        <v>27</v>
      </c>
      <c r="D22" s="59"/>
      <c r="E22" s="59"/>
      <c r="F22" s="4"/>
    </row>
    <row r="23" spans="2:6" ht="36" x14ac:dyDescent="0.45">
      <c r="B23" s="17" t="s">
        <v>161</v>
      </c>
      <c r="C23" s="77">
        <v>35</v>
      </c>
      <c r="D23" s="59"/>
      <c r="E23" s="59"/>
      <c r="F23" s="4"/>
    </row>
    <row r="24" spans="2:6" x14ac:dyDescent="0.45">
      <c r="B24" s="59"/>
      <c r="C24" s="59"/>
      <c r="D24" s="59"/>
      <c r="E24" s="59"/>
      <c r="F24" s="4"/>
    </row>
    <row r="25" spans="2:6" x14ac:dyDescent="0.45">
      <c r="F25" s="59"/>
    </row>
    <row r="26" spans="2:6" x14ac:dyDescent="0.45">
      <c r="B26" t="s">
        <v>163</v>
      </c>
    </row>
    <row r="41" spans="7:9" x14ac:dyDescent="0.45">
      <c r="G41" s="58"/>
    </row>
    <row r="42" spans="7:9" x14ac:dyDescent="0.45">
      <c r="I42" s="40"/>
    </row>
  </sheetData>
  <mergeCells count="9">
    <mergeCell ref="B15:C15"/>
    <mergeCell ref="B16:C16"/>
    <mergeCell ref="B19:C19"/>
    <mergeCell ref="B10:C10"/>
    <mergeCell ref="D10:E10"/>
    <mergeCell ref="B11:C11"/>
    <mergeCell ref="B12:C12"/>
    <mergeCell ref="B13:C13"/>
    <mergeCell ref="B14:C14"/>
  </mergeCells>
  <phoneticPr fontId="2"/>
  <hyperlinks>
    <hyperlink ref="M2" location="汚泥処理対策シート!A1" display="クリックで対策シートに戻る" xr:uid="{64254440-1D88-4EEF-9848-A3393DE0BFD9}"/>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F1407-12CA-43F4-99CB-B3851C3C39F1}">
  <sheetPr>
    <tabColor theme="5" tint="-0.499984740745262"/>
  </sheetPr>
  <dimension ref="B2:J46"/>
  <sheetViews>
    <sheetView zoomScale="80" zoomScaleNormal="80" workbookViewId="0"/>
  </sheetViews>
  <sheetFormatPr defaultRowHeight="18" x14ac:dyDescent="0.45"/>
  <cols>
    <col min="2" max="2" width="15.59765625" customWidth="1"/>
    <col min="3" max="3" width="22.59765625" customWidth="1"/>
    <col min="4" max="4" width="11" bestFit="1" customWidth="1"/>
    <col min="5" max="5" width="29.59765625" bestFit="1" customWidth="1"/>
    <col min="6" max="6" width="12.5" customWidth="1"/>
    <col min="7" max="7" width="15.8984375" customWidth="1"/>
    <col min="8" max="8" width="22.3984375" customWidth="1"/>
    <col min="9" max="9" width="24" bestFit="1" customWidth="1"/>
    <col min="10" max="10" width="32.59765625" customWidth="1"/>
    <col min="11" max="11" width="14.19921875" customWidth="1"/>
    <col min="12" max="12" width="21.19921875" bestFit="1" customWidth="1"/>
    <col min="13" max="13" width="7.09765625" bestFit="1" customWidth="1"/>
  </cols>
  <sheetData>
    <row r="2" spans="2:10" ht="22.2" x14ac:dyDescent="0.45">
      <c r="B2" s="28" t="s">
        <v>182</v>
      </c>
      <c r="J2" s="242" t="s">
        <v>1151</v>
      </c>
    </row>
    <row r="3" spans="2:10" x14ac:dyDescent="0.45">
      <c r="B3" s="32" t="s">
        <v>94</v>
      </c>
      <c r="C3" s="33"/>
      <c r="D3" s="33"/>
      <c r="E3" s="33"/>
      <c r="H3" s="18"/>
      <c r="I3" t="s">
        <v>79</v>
      </c>
    </row>
    <row r="4" spans="2:10" x14ac:dyDescent="0.45">
      <c r="B4" s="309" t="s">
        <v>97</v>
      </c>
      <c r="C4" s="310"/>
      <c r="D4" s="310"/>
      <c r="E4" s="310"/>
      <c r="H4" s="7"/>
      <c r="I4" t="s">
        <v>80</v>
      </c>
    </row>
    <row r="5" spans="2:10" x14ac:dyDescent="0.45">
      <c r="H5" s="378"/>
      <c r="I5" t="s">
        <v>1401</v>
      </c>
    </row>
    <row r="6" spans="2:10" x14ac:dyDescent="0.45">
      <c r="H6" s="11"/>
      <c r="I6" t="s">
        <v>81</v>
      </c>
    </row>
    <row r="7" spans="2:10" x14ac:dyDescent="0.45">
      <c r="B7" s="31" t="s">
        <v>179</v>
      </c>
      <c r="C7" s="4"/>
    </row>
    <row r="8" spans="2:10" x14ac:dyDescent="0.45">
      <c r="B8" s="31" t="s">
        <v>1428</v>
      </c>
      <c r="C8" s="4"/>
    </row>
    <row r="9" spans="2:10" x14ac:dyDescent="0.45">
      <c r="B9" s="31"/>
      <c r="C9" s="4"/>
    </row>
    <row r="10" spans="2:10" x14ac:dyDescent="0.45">
      <c r="B10" s="465" t="s">
        <v>152</v>
      </c>
      <c r="C10" s="465"/>
      <c r="D10" s="539" t="s">
        <v>177</v>
      </c>
      <c r="E10" s="540"/>
    </row>
    <row r="11" spans="2:10" x14ac:dyDescent="0.45">
      <c r="B11" s="465" t="s">
        <v>178</v>
      </c>
      <c r="C11" s="465"/>
      <c r="D11" s="57"/>
      <c r="E11" s="11" t="s">
        <v>84</v>
      </c>
    </row>
    <row r="12" spans="2:10" x14ac:dyDescent="0.45">
      <c r="B12" s="465" t="s">
        <v>85</v>
      </c>
      <c r="C12" s="465"/>
      <c r="D12" s="8"/>
      <c r="E12" s="11" t="s">
        <v>86</v>
      </c>
      <c r="F12" s="4" t="s">
        <v>124</v>
      </c>
    </row>
    <row r="13" spans="2:10" x14ac:dyDescent="0.45">
      <c r="B13" s="465" t="s">
        <v>91</v>
      </c>
      <c r="C13" s="465"/>
      <c r="D13" s="56">
        <f>(D11*D12/100)</f>
        <v>0</v>
      </c>
      <c r="E13" s="11" t="s">
        <v>84</v>
      </c>
      <c r="F13" s="4"/>
    </row>
    <row r="14" spans="2:10" x14ac:dyDescent="0.45">
      <c r="B14" s="465" t="s">
        <v>70</v>
      </c>
      <c r="C14" s="465"/>
      <c r="D14" s="378">
        <f>ツール入力シート①!C13</f>
        <v>0.25</v>
      </c>
      <c r="E14" s="11" t="s">
        <v>92</v>
      </c>
    </row>
    <row r="15" spans="2:10" x14ac:dyDescent="0.45">
      <c r="B15" s="538" t="s">
        <v>93</v>
      </c>
      <c r="C15" s="538"/>
      <c r="D15" s="312">
        <f>D13*D14</f>
        <v>0</v>
      </c>
      <c r="E15" s="311" t="s">
        <v>21</v>
      </c>
    </row>
    <row r="18" spans="2:9" x14ac:dyDescent="0.45">
      <c r="B18" s="550" t="s">
        <v>125</v>
      </c>
      <c r="C18" s="550"/>
      <c r="D18" s="550"/>
      <c r="E18" s="550"/>
      <c r="F18" s="4"/>
    </row>
    <row r="19" spans="2:9" x14ac:dyDescent="0.45">
      <c r="B19" s="534" t="s">
        <v>166</v>
      </c>
      <c r="C19" s="534"/>
      <c r="D19" s="84" t="s">
        <v>173</v>
      </c>
      <c r="E19" s="30" t="s">
        <v>176</v>
      </c>
      <c r="F19" s="4"/>
    </row>
    <row r="20" spans="2:9" x14ac:dyDescent="0.45">
      <c r="B20" s="534" t="s">
        <v>167</v>
      </c>
      <c r="C20" s="9" t="s">
        <v>168</v>
      </c>
      <c r="D20" s="85">
        <v>14.831676051275908</v>
      </c>
      <c r="E20" s="30" t="s">
        <v>174</v>
      </c>
      <c r="F20" s="4"/>
    </row>
    <row r="21" spans="2:9" x14ac:dyDescent="0.45">
      <c r="B21" s="534"/>
      <c r="C21" s="80" t="s">
        <v>169</v>
      </c>
      <c r="D21" s="85">
        <v>17.762764046865648</v>
      </c>
      <c r="E21" s="30" t="s">
        <v>175</v>
      </c>
      <c r="F21" s="4"/>
    </row>
    <row r="22" spans="2:9" x14ac:dyDescent="0.45">
      <c r="B22" s="534" t="s">
        <v>39</v>
      </c>
      <c r="C22" s="80" t="s">
        <v>170</v>
      </c>
      <c r="D22" s="85" t="s">
        <v>172</v>
      </c>
      <c r="E22" s="30" t="s">
        <v>41</v>
      </c>
      <c r="F22" s="4"/>
    </row>
    <row r="23" spans="2:9" x14ac:dyDescent="0.45">
      <c r="B23" s="534"/>
      <c r="C23" s="9" t="s">
        <v>168</v>
      </c>
      <c r="D23" s="85">
        <v>26.877985236647849</v>
      </c>
      <c r="E23" s="30" t="s">
        <v>1520</v>
      </c>
      <c r="F23" s="4"/>
    </row>
    <row r="24" spans="2:9" x14ac:dyDescent="0.45">
      <c r="B24" s="534"/>
      <c r="C24" s="80" t="s">
        <v>1518</v>
      </c>
      <c r="D24" s="85">
        <v>31.925178646490117</v>
      </c>
      <c r="E24" s="30" t="s">
        <v>40</v>
      </c>
      <c r="F24" s="4"/>
    </row>
    <row r="25" spans="2:9" x14ac:dyDescent="0.45">
      <c r="B25" s="534" t="s">
        <v>171</v>
      </c>
      <c r="C25" s="80" t="s">
        <v>170</v>
      </c>
      <c r="D25" s="85" t="s">
        <v>172</v>
      </c>
      <c r="E25" s="30" t="s">
        <v>41</v>
      </c>
      <c r="F25" s="4"/>
    </row>
    <row r="26" spans="2:9" x14ac:dyDescent="0.45">
      <c r="B26" s="534"/>
      <c r="C26" s="9" t="s">
        <v>168</v>
      </c>
      <c r="D26" s="85">
        <v>17.244392659481505</v>
      </c>
      <c r="E26" s="30" t="s">
        <v>1520</v>
      </c>
      <c r="F26" s="4"/>
    </row>
    <row r="27" spans="2:9" x14ac:dyDescent="0.45">
      <c r="B27" s="534"/>
      <c r="C27" s="80" t="s">
        <v>1518</v>
      </c>
      <c r="D27" s="85">
        <v>22.090985292997026</v>
      </c>
      <c r="E27" s="30" t="s">
        <v>1519</v>
      </c>
      <c r="F27" s="4"/>
    </row>
    <row r="28" spans="2:9" x14ac:dyDescent="0.45">
      <c r="B28" s="59"/>
      <c r="C28" s="59"/>
      <c r="D28" s="4"/>
      <c r="E28" s="4"/>
      <c r="F28" s="4"/>
    </row>
    <row r="29" spans="2:9" x14ac:dyDescent="0.45">
      <c r="F29" s="59"/>
    </row>
    <row r="30" spans="2:9" x14ac:dyDescent="0.45">
      <c r="B30" t="s">
        <v>165</v>
      </c>
    </row>
    <row r="32" spans="2:9" x14ac:dyDescent="0.45">
      <c r="I32" s="58"/>
    </row>
    <row r="37" spans="7:10" x14ac:dyDescent="0.45">
      <c r="H37" s="3"/>
      <c r="I37" s="3"/>
      <c r="J37" s="3"/>
    </row>
    <row r="38" spans="7:10" x14ac:dyDescent="0.45">
      <c r="H38" s="3"/>
      <c r="I38" s="3"/>
      <c r="J38" s="78"/>
    </row>
    <row r="39" spans="7:10" x14ac:dyDescent="0.45">
      <c r="H39" s="3"/>
      <c r="I39" s="79"/>
      <c r="J39" s="78"/>
    </row>
    <row r="40" spans="7:10" x14ac:dyDescent="0.45">
      <c r="H40" s="3"/>
      <c r="I40" s="79"/>
      <c r="J40" s="78"/>
    </row>
    <row r="41" spans="7:10" x14ac:dyDescent="0.45">
      <c r="H41" s="3"/>
      <c r="I41" s="3"/>
      <c r="J41" s="78"/>
    </row>
    <row r="42" spans="7:10" x14ac:dyDescent="0.45">
      <c r="H42" s="3"/>
      <c r="I42" s="79"/>
      <c r="J42" s="78"/>
    </row>
    <row r="43" spans="7:10" x14ac:dyDescent="0.45">
      <c r="H43" s="3"/>
      <c r="I43" s="79"/>
      <c r="J43" s="78"/>
    </row>
    <row r="44" spans="7:10" x14ac:dyDescent="0.45">
      <c r="H44" s="3"/>
      <c r="I44" s="3"/>
      <c r="J44" s="78"/>
    </row>
    <row r="45" spans="7:10" x14ac:dyDescent="0.45">
      <c r="G45" s="58"/>
      <c r="H45" s="3"/>
      <c r="I45" s="79"/>
      <c r="J45" s="78"/>
    </row>
    <row r="46" spans="7:10" x14ac:dyDescent="0.45">
      <c r="I46" s="40"/>
    </row>
  </sheetData>
  <mergeCells count="12">
    <mergeCell ref="B19:C19"/>
    <mergeCell ref="B20:B21"/>
    <mergeCell ref="B22:B24"/>
    <mergeCell ref="B25:B27"/>
    <mergeCell ref="B18:E18"/>
    <mergeCell ref="B14:C14"/>
    <mergeCell ref="B15:C15"/>
    <mergeCell ref="B10:C10"/>
    <mergeCell ref="D10:E10"/>
    <mergeCell ref="B11:C11"/>
    <mergeCell ref="B12:C12"/>
    <mergeCell ref="B13:C13"/>
  </mergeCells>
  <phoneticPr fontId="2"/>
  <hyperlinks>
    <hyperlink ref="J2" location="汚泥処理対策シート!A1" display="クリックで対策シートに戻る" xr:uid="{9FE4C4AD-A19E-496F-80A0-6CBB7E17B322}"/>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B4306-F4F8-4C77-94CC-3F2E0E960C14}">
  <sheetPr>
    <tabColor theme="5" tint="-0.499984740745262"/>
  </sheetPr>
  <dimension ref="B2:J47"/>
  <sheetViews>
    <sheetView zoomScale="80" zoomScaleNormal="80" workbookViewId="0"/>
  </sheetViews>
  <sheetFormatPr defaultRowHeight="18" x14ac:dyDescent="0.45"/>
  <cols>
    <col min="2" max="2" width="15.59765625" customWidth="1"/>
    <col min="3" max="3" width="22.59765625" customWidth="1"/>
    <col min="4" max="4" width="11" bestFit="1" customWidth="1"/>
    <col min="5" max="5" width="29.59765625" bestFit="1" customWidth="1"/>
    <col min="6" max="6" width="12.5" customWidth="1"/>
    <col min="7" max="7" width="15.8984375" customWidth="1"/>
    <col min="8" max="8" width="22.3984375" customWidth="1"/>
    <col min="9" max="9" width="24" bestFit="1" customWidth="1"/>
    <col min="10" max="10" width="32.59765625" customWidth="1"/>
    <col min="11" max="11" width="14.19921875" customWidth="1"/>
    <col min="12" max="12" width="21.19921875" bestFit="1" customWidth="1"/>
    <col min="13" max="13" width="7.09765625" bestFit="1" customWidth="1"/>
  </cols>
  <sheetData>
    <row r="2" spans="2:10" ht="22.2" x14ac:dyDescent="0.45">
      <c r="B2" s="28" t="s">
        <v>197</v>
      </c>
      <c r="J2" s="242" t="s">
        <v>1151</v>
      </c>
    </row>
    <row r="3" spans="2:10" x14ac:dyDescent="0.45">
      <c r="B3" s="32" t="s">
        <v>94</v>
      </c>
      <c r="C3" s="33"/>
      <c r="D3" s="33"/>
      <c r="E3" s="33"/>
      <c r="H3" s="18"/>
      <c r="I3" t="s">
        <v>79</v>
      </c>
    </row>
    <row r="4" spans="2:10" x14ac:dyDescent="0.45">
      <c r="B4" s="309" t="s">
        <v>97</v>
      </c>
      <c r="C4" s="310"/>
      <c r="D4" s="310"/>
      <c r="E4" s="310"/>
      <c r="H4" s="7"/>
      <c r="I4" t="s">
        <v>80</v>
      </c>
    </row>
    <row r="5" spans="2:10" x14ac:dyDescent="0.45">
      <c r="H5" s="378"/>
      <c r="I5" t="s">
        <v>1401</v>
      </c>
    </row>
    <row r="6" spans="2:10" x14ac:dyDescent="0.45">
      <c r="H6" s="11"/>
      <c r="I6" t="s">
        <v>81</v>
      </c>
    </row>
    <row r="7" spans="2:10" x14ac:dyDescent="0.45">
      <c r="B7" s="31" t="s">
        <v>179</v>
      </c>
      <c r="C7" s="4"/>
    </row>
    <row r="8" spans="2:10" x14ac:dyDescent="0.45">
      <c r="B8" s="31" t="s">
        <v>1428</v>
      </c>
      <c r="C8" s="4"/>
    </row>
    <row r="9" spans="2:10" x14ac:dyDescent="0.45">
      <c r="B9" s="31"/>
      <c r="C9" s="4"/>
    </row>
    <row r="10" spans="2:10" x14ac:dyDescent="0.45">
      <c r="B10" s="465" t="s">
        <v>152</v>
      </c>
      <c r="C10" s="465"/>
      <c r="D10" s="539" t="s">
        <v>177</v>
      </c>
      <c r="E10" s="540"/>
    </row>
    <row r="11" spans="2:10" x14ac:dyDescent="0.45">
      <c r="B11" s="465" t="s">
        <v>193</v>
      </c>
      <c r="C11" s="465"/>
      <c r="D11" s="57"/>
      <c r="E11" s="11" t="s">
        <v>84</v>
      </c>
    </row>
    <row r="12" spans="2:10" x14ac:dyDescent="0.45">
      <c r="B12" s="465" t="s">
        <v>85</v>
      </c>
      <c r="C12" s="465"/>
      <c r="D12" s="8"/>
      <c r="E12" s="11" t="s">
        <v>86</v>
      </c>
      <c r="F12" s="4" t="s">
        <v>124</v>
      </c>
    </row>
    <row r="13" spans="2:10" x14ac:dyDescent="0.45">
      <c r="B13" s="465" t="s">
        <v>88</v>
      </c>
      <c r="C13" s="465"/>
      <c r="D13" s="8"/>
      <c r="E13" s="11" t="s">
        <v>89</v>
      </c>
      <c r="F13" s="4" t="s">
        <v>90</v>
      </c>
    </row>
    <row r="14" spans="2:10" x14ac:dyDescent="0.45">
      <c r="B14" s="465" t="s">
        <v>91</v>
      </c>
      <c r="C14" s="465"/>
      <c r="D14" s="56">
        <f>(D11*D12/100)*D13/100</f>
        <v>0</v>
      </c>
      <c r="E14" s="11" t="s">
        <v>84</v>
      </c>
      <c r="F14" s="4" t="s">
        <v>95</v>
      </c>
    </row>
    <row r="15" spans="2:10" x14ac:dyDescent="0.45">
      <c r="B15" s="465" t="s">
        <v>70</v>
      </c>
      <c r="C15" s="465"/>
      <c r="D15" s="378">
        <f>ツール入力シート①!C13</f>
        <v>0.25</v>
      </c>
      <c r="E15" s="11" t="s">
        <v>92</v>
      </c>
    </row>
    <row r="16" spans="2:10" x14ac:dyDescent="0.45">
      <c r="B16" s="538" t="s">
        <v>93</v>
      </c>
      <c r="C16" s="538"/>
      <c r="D16" s="312">
        <f>D14*D15</f>
        <v>0</v>
      </c>
      <c r="E16" s="311" t="s">
        <v>21</v>
      </c>
    </row>
    <row r="19" spans="2:8" x14ac:dyDescent="0.45">
      <c r="B19" s="550" t="s">
        <v>125</v>
      </c>
      <c r="C19" s="550"/>
      <c r="D19" s="550"/>
      <c r="E19" s="550"/>
      <c r="F19" s="550"/>
      <c r="G19" s="550"/>
      <c r="H19" s="550"/>
    </row>
    <row r="20" spans="2:8" x14ac:dyDescent="0.45">
      <c r="B20" s="521" t="s">
        <v>191</v>
      </c>
      <c r="C20" s="521"/>
      <c r="D20" s="521" t="s">
        <v>192</v>
      </c>
      <c r="E20" s="521"/>
      <c r="F20" s="521" t="s">
        <v>186</v>
      </c>
      <c r="G20" s="521"/>
      <c r="H20" s="521"/>
    </row>
    <row r="21" spans="2:8" x14ac:dyDescent="0.45">
      <c r="B21" s="521"/>
      <c r="C21" s="521"/>
      <c r="D21" s="521"/>
      <c r="E21" s="521"/>
      <c r="F21" s="16" t="s">
        <v>477</v>
      </c>
      <c r="G21" s="16" t="s">
        <v>187</v>
      </c>
      <c r="H21" s="16" t="s">
        <v>188</v>
      </c>
    </row>
    <row r="22" spans="2:8" x14ac:dyDescent="0.45">
      <c r="B22" s="521" t="s">
        <v>185</v>
      </c>
      <c r="C22" s="521"/>
      <c r="D22" s="521" t="s">
        <v>194</v>
      </c>
      <c r="E22" s="521"/>
      <c r="F22" s="77" t="s">
        <v>42</v>
      </c>
      <c r="G22" s="77">
        <v>25</v>
      </c>
      <c r="H22" s="77">
        <v>18</v>
      </c>
    </row>
    <row r="23" spans="2:8" x14ac:dyDescent="0.45">
      <c r="B23" s="521" t="s">
        <v>185</v>
      </c>
      <c r="C23" s="521"/>
      <c r="D23" s="521" t="s">
        <v>189</v>
      </c>
      <c r="E23" s="521"/>
      <c r="F23" s="77" t="s">
        <v>42</v>
      </c>
      <c r="G23" s="77">
        <v>59</v>
      </c>
      <c r="H23" s="77">
        <v>53</v>
      </c>
    </row>
    <row r="24" spans="2:8" x14ac:dyDescent="0.45">
      <c r="B24" s="521" t="s">
        <v>185</v>
      </c>
      <c r="C24" s="521"/>
      <c r="D24" s="521" t="s">
        <v>190</v>
      </c>
      <c r="E24" s="521"/>
      <c r="F24" s="77">
        <v>64</v>
      </c>
      <c r="G24" s="77">
        <v>73</v>
      </c>
      <c r="H24" s="77">
        <v>47</v>
      </c>
    </row>
    <row r="25" spans="2:8" x14ac:dyDescent="0.45">
      <c r="B25" s="29"/>
      <c r="C25" s="83"/>
      <c r="E25" s="81"/>
      <c r="F25" s="4"/>
    </row>
    <row r="26" spans="2:8" x14ac:dyDescent="0.45">
      <c r="B26" s="29"/>
      <c r="C26" s="83"/>
      <c r="D26" s="82"/>
      <c r="E26" s="81"/>
      <c r="F26" s="4"/>
    </row>
    <row r="27" spans="2:8" x14ac:dyDescent="0.45">
      <c r="B27" s="29"/>
      <c r="C27" s="29"/>
      <c r="D27" s="82"/>
      <c r="E27" s="81"/>
      <c r="F27" s="4"/>
    </row>
    <row r="28" spans="2:8" x14ac:dyDescent="0.45">
      <c r="B28" s="29"/>
      <c r="C28" s="83"/>
      <c r="D28" s="82"/>
      <c r="E28" s="81"/>
      <c r="F28" s="4"/>
    </row>
    <row r="29" spans="2:8" x14ac:dyDescent="0.45">
      <c r="B29" s="59"/>
      <c r="C29" s="59"/>
      <c r="D29" s="4"/>
      <c r="E29" s="4"/>
      <c r="F29" s="4"/>
    </row>
    <row r="30" spans="2:8" x14ac:dyDescent="0.45">
      <c r="F30" s="59"/>
    </row>
    <row r="31" spans="2:8" x14ac:dyDescent="0.45">
      <c r="B31" t="s">
        <v>184</v>
      </c>
    </row>
    <row r="33" spans="7:10" x14ac:dyDescent="0.45">
      <c r="I33" s="58"/>
    </row>
    <row r="38" spans="7:10" x14ac:dyDescent="0.45">
      <c r="H38" s="3"/>
      <c r="I38" s="3"/>
      <c r="J38" s="3"/>
    </row>
    <row r="39" spans="7:10" x14ac:dyDescent="0.45">
      <c r="H39" s="3"/>
      <c r="I39" s="3"/>
      <c r="J39" s="78"/>
    </row>
    <row r="40" spans="7:10" x14ac:dyDescent="0.45">
      <c r="H40" s="3"/>
      <c r="I40" s="79"/>
      <c r="J40" s="78"/>
    </row>
    <row r="41" spans="7:10" x14ac:dyDescent="0.45">
      <c r="H41" s="3"/>
      <c r="I41" s="79"/>
      <c r="J41" s="78"/>
    </row>
    <row r="42" spans="7:10" x14ac:dyDescent="0.45">
      <c r="H42" s="3"/>
      <c r="I42" s="3"/>
      <c r="J42" s="78"/>
    </row>
    <row r="43" spans="7:10" x14ac:dyDescent="0.45">
      <c r="H43" s="3"/>
      <c r="I43" s="79"/>
      <c r="J43" s="78"/>
    </row>
    <row r="44" spans="7:10" x14ac:dyDescent="0.45">
      <c r="H44" s="3"/>
      <c r="I44" s="79"/>
      <c r="J44" s="78"/>
    </row>
    <row r="45" spans="7:10" x14ac:dyDescent="0.45">
      <c r="H45" s="3"/>
      <c r="I45" s="3"/>
      <c r="J45" s="78"/>
    </row>
    <row r="46" spans="7:10" x14ac:dyDescent="0.45">
      <c r="G46" s="58"/>
      <c r="H46" s="3"/>
      <c r="I46" s="79"/>
      <c r="J46" s="78"/>
    </row>
    <row r="47" spans="7:10" x14ac:dyDescent="0.45">
      <c r="I47" s="40"/>
    </row>
  </sheetData>
  <mergeCells count="18">
    <mergeCell ref="B15:C15"/>
    <mergeCell ref="D24:E24"/>
    <mergeCell ref="F20:H20"/>
    <mergeCell ref="B16:C16"/>
    <mergeCell ref="B22:C22"/>
    <mergeCell ref="B23:C23"/>
    <mergeCell ref="B24:C24"/>
    <mergeCell ref="D22:E22"/>
    <mergeCell ref="B19:H19"/>
    <mergeCell ref="B20:C21"/>
    <mergeCell ref="D20:E21"/>
    <mergeCell ref="D23:E23"/>
    <mergeCell ref="B10:C10"/>
    <mergeCell ref="D10:E10"/>
    <mergeCell ref="B11:C11"/>
    <mergeCell ref="B12:C12"/>
    <mergeCell ref="B14:C14"/>
    <mergeCell ref="B13:C13"/>
  </mergeCells>
  <phoneticPr fontId="2"/>
  <hyperlinks>
    <hyperlink ref="J2" location="汚泥処理対策シート!A1" display="クリックで対策シートに戻る" xr:uid="{435C331E-6A65-4EDA-B6FE-CB32A44956EF}"/>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947631-3631-4AFA-B06B-019324D323DD}">
  <sheetPr>
    <tabColor theme="5" tint="-0.499984740745262"/>
  </sheetPr>
  <dimension ref="B2:J29"/>
  <sheetViews>
    <sheetView zoomScale="80" zoomScaleNormal="80" workbookViewId="0"/>
  </sheetViews>
  <sheetFormatPr defaultRowHeight="18" x14ac:dyDescent="0.45"/>
  <cols>
    <col min="2" max="2" width="15.59765625" customWidth="1"/>
    <col min="3" max="3" width="22.59765625" customWidth="1"/>
    <col min="4" max="4" width="11" bestFit="1" customWidth="1"/>
    <col min="5" max="5" width="29.59765625" bestFit="1" customWidth="1"/>
    <col min="6" max="6" width="12.5" customWidth="1"/>
    <col min="7" max="7" width="15.8984375" customWidth="1"/>
    <col min="8" max="8" width="22.3984375" customWidth="1"/>
    <col min="9" max="9" width="24" bestFit="1" customWidth="1"/>
    <col min="10" max="10" width="32.59765625" customWidth="1"/>
    <col min="11" max="11" width="14.19921875" customWidth="1"/>
    <col min="12" max="12" width="21.19921875" bestFit="1" customWidth="1"/>
    <col min="13" max="13" width="7.09765625" bestFit="1" customWidth="1"/>
  </cols>
  <sheetData>
    <row r="2" spans="2:9" ht="22.2" x14ac:dyDescent="0.45">
      <c r="B2" s="28" t="s">
        <v>1490</v>
      </c>
      <c r="I2" s="242" t="s">
        <v>1151</v>
      </c>
    </row>
    <row r="3" spans="2:9" ht="22.2" x14ac:dyDescent="0.45">
      <c r="B3" s="28"/>
    </row>
    <row r="4" spans="2:9" x14ac:dyDescent="0.45">
      <c r="B4" s="31" t="s">
        <v>754</v>
      </c>
    </row>
    <row r="5" spans="2:9" x14ac:dyDescent="0.45">
      <c r="B5" s="31" t="s">
        <v>755</v>
      </c>
    </row>
    <row r="6" spans="2:9" ht="22.2" x14ac:dyDescent="0.45">
      <c r="B6" s="28"/>
      <c r="C6" s="242" t="s">
        <v>1155</v>
      </c>
    </row>
    <row r="7" spans="2:9" ht="22.2" x14ac:dyDescent="0.45">
      <c r="B7" s="28"/>
    </row>
    <row r="8" spans="2:9" ht="22.2" x14ac:dyDescent="0.45">
      <c r="B8" s="28" t="s">
        <v>756</v>
      </c>
    </row>
    <row r="9" spans="2:9" ht="22.2" x14ac:dyDescent="0.45">
      <c r="B9" s="28"/>
    </row>
    <row r="10" spans="2:9" x14ac:dyDescent="0.45">
      <c r="B10" s="538" t="s">
        <v>93</v>
      </c>
      <c r="C10" s="538"/>
      <c r="D10" s="312"/>
      <c r="E10" s="311" t="s">
        <v>21</v>
      </c>
    </row>
    <row r="11" spans="2:9" ht="22.2" x14ac:dyDescent="0.45">
      <c r="B11" s="28"/>
    </row>
    <row r="12" spans="2:9" ht="22.2" x14ac:dyDescent="0.45">
      <c r="B12" s="28"/>
    </row>
    <row r="15" spans="2:9" x14ac:dyDescent="0.45">
      <c r="I15" s="58"/>
    </row>
    <row r="20" spans="7:10" x14ac:dyDescent="0.45">
      <c r="H20" s="3"/>
      <c r="I20" s="3"/>
      <c r="J20" s="3"/>
    </row>
    <row r="21" spans="7:10" x14ac:dyDescent="0.45">
      <c r="H21" s="3"/>
      <c r="I21" s="3"/>
      <c r="J21" s="78"/>
    </row>
    <row r="22" spans="7:10" x14ac:dyDescent="0.45">
      <c r="H22" s="3"/>
      <c r="I22" s="79"/>
      <c r="J22" s="78"/>
    </row>
    <row r="23" spans="7:10" x14ac:dyDescent="0.45">
      <c r="H23" s="3"/>
      <c r="I23" s="79"/>
      <c r="J23" s="78"/>
    </row>
    <row r="24" spans="7:10" x14ac:dyDescent="0.45">
      <c r="H24" s="3"/>
      <c r="I24" s="3"/>
      <c r="J24" s="78"/>
    </row>
    <row r="25" spans="7:10" x14ac:dyDescent="0.45">
      <c r="H25" s="3"/>
      <c r="I25" s="79"/>
      <c r="J25" s="78"/>
    </row>
    <row r="26" spans="7:10" x14ac:dyDescent="0.45">
      <c r="H26" s="3"/>
      <c r="I26" s="79"/>
      <c r="J26" s="78"/>
    </row>
    <row r="27" spans="7:10" x14ac:dyDescent="0.45">
      <c r="H27" s="3"/>
      <c r="I27" s="3"/>
      <c r="J27" s="78"/>
    </row>
    <row r="28" spans="7:10" x14ac:dyDescent="0.45">
      <c r="G28" s="58"/>
      <c r="H28" s="3"/>
      <c r="I28" s="79"/>
      <c r="J28" s="78"/>
    </row>
    <row r="29" spans="7:10" x14ac:dyDescent="0.45">
      <c r="I29" s="40"/>
    </row>
  </sheetData>
  <mergeCells count="1">
    <mergeCell ref="B10:C10"/>
  </mergeCells>
  <phoneticPr fontId="2"/>
  <hyperlinks>
    <hyperlink ref="I2" location="汚泥処理対策シート!A1" display="クリックで対策シートに戻る" xr:uid="{6BC7F02E-18B3-4A9F-8DFA-60CC5DB75562}"/>
    <hyperlink ref="C6" r:id="rId1" xr:uid="{E8E623A7-855D-4AD9-84AA-5A6D058348D1}"/>
  </hyperlinks>
  <pageMargins left="0.7" right="0.7" top="0.75" bottom="0.75" header="0.3" footer="0.3"/>
  <pageSetup paperSize="9" orientation="portrait"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1135A-559C-4932-824A-DAEA8E23E6AA}">
  <sheetPr>
    <tabColor theme="5" tint="-0.499984740745262"/>
    <pageSetUpPr fitToPage="1"/>
  </sheetPr>
  <dimension ref="A1:V149"/>
  <sheetViews>
    <sheetView zoomScale="80" zoomScaleNormal="80" zoomScaleSheetLayoutView="85" workbookViewId="0"/>
  </sheetViews>
  <sheetFormatPr defaultColWidth="9" defaultRowHeight="18" x14ac:dyDescent="0.45"/>
  <cols>
    <col min="1" max="1" width="1.59765625" style="148" customWidth="1"/>
    <col min="2" max="2" width="11" style="148" customWidth="1"/>
    <col min="3" max="3" width="20.69921875" style="148" bestFit="1" customWidth="1"/>
    <col min="4" max="4" width="38.09765625" style="148" bestFit="1" customWidth="1"/>
    <col min="5" max="5" width="16" style="148" bestFit="1" customWidth="1"/>
    <col min="6" max="6" width="27.59765625" style="148" customWidth="1"/>
    <col min="7" max="7" width="30.09765625" style="148" customWidth="1"/>
    <col min="8" max="8" width="22.69921875" style="148" bestFit="1" customWidth="1"/>
    <col min="9" max="9" width="50.09765625" style="148" bestFit="1" customWidth="1"/>
    <col min="10" max="10" width="2.69921875" style="148" customWidth="1"/>
    <col min="11" max="11" width="32.3984375" style="148" bestFit="1" customWidth="1"/>
    <col min="12" max="12" width="10" style="148" bestFit="1" customWidth="1"/>
    <col min="13" max="15" width="1.59765625" style="148" customWidth="1"/>
    <col min="16" max="17" width="19.19921875" style="148" customWidth="1"/>
    <col min="18" max="18" width="8.59765625" style="148" customWidth="1"/>
    <col min="19" max="19" width="21.3984375" style="148" customWidth="1"/>
    <col min="20" max="20" width="11.59765625" style="148" customWidth="1"/>
    <col min="21" max="21" width="11.69921875" style="148" bestFit="1" customWidth="1"/>
    <col min="22" max="22" width="10.09765625" style="148" bestFit="1" customWidth="1"/>
    <col min="23" max="16384" width="9" style="148"/>
  </cols>
  <sheetData>
    <row r="1" spans="2:11" customFormat="1" x14ac:dyDescent="0.45"/>
    <row r="2" spans="2:11" customFormat="1" ht="22.2" x14ac:dyDescent="0.45">
      <c r="B2" s="28" t="s">
        <v>1485</v>
      </c>
      <c r="K2" s="242" t="s">
        <v>1151</v>
      </c>
    </row>
    <row r="3" spans="2:11" customFormat="1" x14ac:dyDescent="0.45">
      <c r="B3" s="32" t="s">
        <v>94</v>
      </c>
      <c r="C3" s="33"/>
      <c r="D3" s="33"/>
      <c r="E3" s="33"/>
      <c r="H3" s="18"/>
      <c r="I3" t="s">
        <v>79</v>
      </c>
    </row>
    <row r="4" spans="2:11" customFormat="1" x14ac:dyDescent="0.45">
      <c r="B4" s="309" t="s">
        <v>97</v>
      </c>
      <c r="C4" s="310"/>
      <c r="D4" s="310"/>
      <c r="E4" s="310"/>
      <c r="H4" s="7"/>
      <c r="I4" t="s">
        <v>80</v>
      </c>
    </row>
    <row r="5" spans="2:11" customFormat="1" x14ac:dyDescent="0.45">
      <c r="H5" s="378"/>
      <c r="I5" t="s">
        <v>1401</v>
      </c>
    </row>
    <row r="6" spans="2:11" customFormat="1" x14ac:dyDescent="0.45">
      <c r="H6" s="11"/>
      <c r="I6" t="s">
        <v>81</v>
      </c>
    </row>
    <row r="7" spans="2:11" customFormat="1" x14ac:dyDescent="0.45">
      <c r="B7" s="31" t="s">
        <v>229</v>
      </c>
      <c r="C7" s="4"/>
      <c r="H7" s="157"/>
      <c r="I7" t="s">
        <v>510</v>
      </c>
    </row>
    <row r="8" spans="2:11" x14ac:dyDescent="0.45">
      <c r="B8" s="31" t="s">
        <v>512</v>
      </c>
      <c r="I8" s="31" t="s">
        <v>511</v>
      </c>
    </row>
    <row r="9" spans="2:11" x14ac:dyDescent="0.45">
      <c r="B9" s="31" t="s">
        <v>1432</v>
      </c>
      <c r="I9" s="31"/>
    </row>
    <row r="10" spans="2:11" x14ac:dyDescent="0.45">
      <c r="B10" s="31"/>
      <c r="I10" s="31"/>
    </row>
    <row r="11" spans="2:11" x14ac:dyDescent="0.45">
      <c r="B11" s="31" t="s">
        <v>513</v>
      </c>
      <c r="I11" s="31"/>
    </row>
    <row r="12" spans="2:11" x14ac:dyDescent="0.45">
      <c r="B12" s="31"/>
      <c r="I12" s="31"/>
    </row>
    <row r="13" spans="2:11" x14ac:dyDescent="0.45">
      <c r="B13" s="31"/>
      <c r="I13" s="31"/>
    </row>
    <row r="14" spans="2:11" x14ac:dyDescent="0.45">
      <c r="B14" s="31"/>
      <c r="I14" s="31"/>
    </row>
    <row r="15" spans="2:11" x14ac:dyDescent="0.45">
      <c r="B15" s="31"/>
      <c r="I15" s="31"/>
    </row>
    <row r="16" spans="2:11" x14ac:dyDescent="0.45">
      <c r="B16" s="31"/>
      <c r="I16" s="31"/>
    </row>
    <row r="17" spans="2:9" x14ac:dyDescent="0.45">
      <c r="B17" s="31"/>
      <c r="I17" s="31"/>
    </row>
    <row r="18" spans="2:9" x14ac:dyDescent="0.45">
      <c r="B18" s="31"/>
      <c r="I18" s="31"/>
    </row>
    <row r="19" spans="2:9" x14ac:dyDescent="0.45">
      <c r="B19" s="31"/>
      <c r="I19" s="31"/>
    </row>
    <row r="20" spans="2:9" x14ac:dyDescent="0.45">
      <c r="B20" s="31"/>
      <c r="I20" s="31"/>
    </row>
    <row r="21" spans="2:9" x14ac:dyDescent="0.45">
      <c r="B21" s="31"/>
      <c r="I21" s="31"/>
    </row>
    <row r="22" spans="2:9" x14ac:dyDescent="0.45">
      <c r="B22" s="31"/>
      <c r="I22" s="31"/>
    </row>
    <row r="23" spans="2:9" x14ac:dyDescent="0.45">
      <c r="B23" s="31"/>
      <c r="I23" s="31"/>
    </row>
    <row r="24" spans="2:9" x14ac:dyDescent="0.45">
      <c r="B24" s="31"/>
      <c r="I24" s="31"/>
    </row>
    <row r="25" spans="2:9" x14ac:dyDescent="0.45">
      <c r="B25" s="31"/>
      <c r="I25" s="31"/>
    </row>
    <row r="28" spans="2:9" ht="32.4" x14ac:dyDescent="0.45">
      <c r="B28" s="88" t="s">
        <v>230</v>
      </c>
      <c r="D28" s="89"/>
    </row>
    <row r="29" spans="2:9" x14ac:dyDescent="0.45">
      <c r="B29" s="465" t="s">
        <v>231</v>
      </c>
      <c r="C29" s="465"/>
      <c r="D29" s="465"/>
      <c r="E29" s="90"/>
      <c r="F29" s="653"/>
      <c r="G29" s="653"/>
      <c r="H29"/>
    </row>
    <row r="30" spans="2:9" x14ac:dyDescent="0.45">
      <c r="B30" s="465" t="s">
        <v>232</v>
      </c>
      <c r="C30" s="465"/>
      <c r="D30" s="18"/>
      <c r="E30" s="92" t="s">
        <v>233</v>
      </c>
      <c r="F30" s="416"/>
      <c r="G30" s="96"/>
      <c r="H30" s="138"/>
    </row>
    <row r="31" spans="2:9" ht="19.8" x14ac:dyDescent="0.45">
      <c r="B31" s="465" t="s">
        <v>234</v>
      </c>
      <c r="C31" s="465"/>
      <c r="D31" s="154">
        <f>D30*(1-D32/100)*100</f>
        <v>0</v>
      </c>
      <c r="E31" s="138" t="s">
        <v>235</v>
      </c>
      <c r="F31" s="99"/>
      <c r="G31" s="96"/>
      <c r="H31" s="96"/>
    </row>
    <row r="32" spans="2:9" x14ac:dyDescent="0.45">
      <c r="B32" s="465" t="s">
        <v>236</v>
      </c>
      <c r="C32" s="465"/>
      <c r="D32" s="26">
        <v>76</v>
      </c>
      <c r="E32" s="138" t="s">
        <v>237</v>
      </c>
      <c r="F32" s="99"/>
      <c r="G32" s="417"/>
      <c r="H32" s="96"/>
    </row>
    <row r="33" spans="2:22" x14ac:dyDescent="0.45">
      <c r="B33" s="465" t="s">
        <v>238</v>
      </c>
      <c r="C33" s="465"/>
      <c r="D33" s="26">
        <v>84</v>
      </c>
      <c r="E33" s="138" t="s">
        <v>237</v>
      </c>
      <c r="F33" s="99"/>
      <c r="G33" s="417"/>
      <c r="H33" s="96"/>
    </row>
    <row r="34" spans="2:22" x14ac:dyDescent="0.45">
      <c r="B34" s="656" t="s">
        <v>239</v>
      </c>
      <c r="C34" s="657"/>
      <c r="D34" s="156">
        <f>365*0.8</f>
        <v>292</v>
      </c>
      <c r="E34" s="138" t="s">
        <v>237</v>
      </c>
      <c r="F34" s="99"/>
      <c r="G34" s="96"/>
      <c r="H34" s="138"/>
    </row>
    <row r="35" spans="2:22" x14ac:dyDescent="0.45">
      <c r="B35" s="465" t="s">
        <v>240</v>
      </c>
      <c r="C35" s="465"/>
      <c r="D35" s="155">
        <f>D30*D34</f>
        <v>0</v>
      </c>
      <c r="E35" s="138" t="s">
        <v>235</v>
      </c>
      <c r="F35" s="99"/>
      <c r="G35" s="417"/>
      <c r="H35" s="138"/>
      <c r="I35" s="96"/>
      <c r="P35" s="16"/>
      <c r="Q35" s="513" t="s">
        <v>241</v>
      </c>
      <c r="R35" s="515"/>
      <c r="S35" s="513" t="s">
        <v>242</v>
      </c>
      <c r="T35" s="515"/>
    </row>
    <row r="36" spans="2:22" ht="19.8" x14ac:dyDescent="0.45">
      <c r="B36" s="465" t="s">
        <v>243</v>
      </c>
      <c r="C36" s="465"/>
      <c r="D36" s="155">
        <f>D35*(1-D32/100)*100</f>
        <v>0</v>
      </c>
      <c r="E36" s="138" t="s">
        <v>235</v>
      </c>
      <c r="F36" s="99"/>
      <c r="G36" s="417"/>
      <c r="H36" s="97"/>
      <c r="I36" s="98"/>
      <c r="P36" s="16" t="s">
        <v>244</v>
      </c>
      <c r="Q36" s="391">
        <v>44.8</v>
      </c>
      <c r="R36" s="16" t="s">
        <v>245</v>
      </c>
      <c r="S36" s="389">
        <v>2.23</v>
      </c>
      <c r="T36" s="94" t="s">
        <v>246</v>
      </c>
      <c r="U36" s="148" t="s">
        <v>247</v>
      </c>
      <c r="V36" s="81" t="s">
        <v>248</v>
      </c>
    </row>
    <row r="37" spans="2:22" ht="19.8" x14ac:dyDescent="0.45">
      <c r="B37" s="465" t="s">
        <v>249</v>
      </c>
      <c r="C37" s="465"/>
      <c r="D37" s="152"/>
      <c r="E37" s="138"/>
      <c r="F37" s="99"/>
      <c r="G37" s="99"/>
      <c r="H37" s="97"/>
      <c r="I37" s="98"/>
      <c r="P37" s="16" t="s">
        <v>250</v>
      </c>
      <c r="Q37" s="391">
        <v>0</v>
      </c>
      <c r="R37" s="16" t="s">
        <v>245</v>
      </c>
      <c r="S37" s="390">
        <v>0</v>
      </c>
      <c r="T37" s="142" t="s">
        <v>251</v>
      </c>
      <c r="U37" s="148" t="s">
        <v>247</v>
      </c>
      <c r="V37" s="81" t="s">
        <v>248</v>
      </c>
    </row>
    <row r="38" spans="2:22" ht="19.8" x14ac:dyDescent="0.45">
      <c r="B38" s="465" t="s">
        <v>252</v>
      </c>
      <c r="C38" s="465"/>
      <c r="D38" s="152"/>
      <c r="F38" s="97"/>
      <c r="G38" s="97"/>
      <c r="H38" s="97"/>
      <c r="I38" s="98"/>
      <c r="P38" s="16" t="s">
        <v>253</v>
      </c>
      <c r="Q38" s="391">
        <v>36.700000000000003</v>
      </c>
      <c r="R38" s="16" t="s">
        <v>254</v>
      </c>
      <c r="S38" s="390">
        <v>2.4900000000000002</v>
      </c>
      <c r="T38" s="142" t="s">
        <v>255</v>
      </c>
      <c r="U38" s="148" t="s">
        <v>256</v>
      </c>
      <c r="V38" s="148" t="s">
        <v>257</v>
      </c>
    </row>
    <row r="39" spans="2:22" ht="19.8" x14ac:dyDescent="0.45">
      <c r="B39" s="497" t="s">
        <v>258</v>
      </c>
      <c r="C39" s="499"/>
      <c r="D39" s="153"/>
      <c r="E39" s="100" t="s">
        <v>259</v>
      </c>
      <c r="F39" s="198" t="s">
        <v>260</v>
      </c>
      <c r="G39" s="200" t="str">
        <f>IF($D$39="","",VLOOKUP($D$39,$P$36:$R$39,2,FALSE))</f>
        <v/>
      </c>
      <c r="H39" s="199" t="str">
        <f>IF($D$39="","",VLOOKUP($D$39,$P$36:$R$39,3,FALSE))</f>
        <v/>
      </c>
      <c r="P39" s="16" t="s">
        <v>261</v>
      </c>
      <c r="Q39" s="391">
        <v>39.1</v>
      </c>
      <c r="R39" s="16" t="s">
        <v>254</v>
      </c>
      <c r="S39" s="390">
        <v>2.71</v>
      </c>
      <c r="T39" s="142" t="s">
        <v>255</v>
      </c>
      <c r="U39" s="148" t="s">
        <v>256</v>
      </c>
      <c r="V39" s="148" t="s">
        <v>257</v>
      </c>
    </row>
    <row r="40" spans="2:22" ht="19.8" x14ac:dyDescent="0.45">
      <c r="B40" s="497" t="s">
        <v>262</v>
      </c>
      <c r="C40" s="499"/>
      <c r="D40" s="153"/>
      <c r="E40" s="101"/>
      <c r="F40" s="198" t="s">
        <v>263</v>
      </c>
      <c r="G40" s="200" t="str">
        <f>IF($D$39="","",VLOOKUP($D$39,$P$36:$T$39,4,FALSE))</f>
        <v/>
      </c>
      <c r="H40" s="199" t="str">
        <f>IF($D$39="","",VLOOKUP($D$39,$P$36:$T$39,5,FALSE))</f>
        <v/>
      </c>
      <c r="O40" s="102"/>
    </row>
    <row r="41" spans="2:22" x14ac:dyDescent="0.45">
      <c r="B41" s="138" t="s">
        <v>264</v>
      </c>
    </row>
    <row r="42" spans="2:22" x14ac:dyDescent="0.45">
      <c r="B42" s="138"/>
    </row>
    <row r="43" spans="2:22" x14ac:dyDescent="0.45">
      <c r="B43" s="103" t="s">
        <v>265</v>
      </c>
      <c r="C43" s="104"/>
      <c r="D43" s="104"/>
      <c r="E43" s="104"/>
      <c r="F43" s="104"/>
      <c r="G43" s="104"/>
      <c r="H43" s="104"/>
      <c r="I43" s="140"/>
    </row>
    <row r="44" spans="2:22" x14ac:dyDescent="0.45">
      <c r="B44" s="95" t="s">
        <v>266</v>
      </c>
      <c r="C44" s="102" t="s">
        <v>267</v>
      </c>
      <c r="I44" s="105"/>
    </row>
    <row r="45" spans="2:22" x14ac:dyDescent="0.45">
      <c r="B45" s="95"/>
      <c r="C45" s="102" t="s">
        <v>268</v>
      </c>
      <c r="I45" s="105"/>
    </row>
    <row r="46" spans="2:22" x14ac:dyDescent="0.45">
      <c r="B46" s="95" t="s">
        <v>266</v>
      </c>
      <c r="C46" s="102" t="s">
        <v>269</v>
      </c>
      <c r="I46" s="105"/>
    </row>
    <row r="47" spans="2:22" x14ac:dyDescent="0.45">
      <c r="B47" s="95"/>
      <c r="C47" s="102" t="s">
        <v>270</v>
      </c>
      <c r="I47" s="105"/>
    </row>
    <row r="48" spans="2:22" x14ac:dyDescent="0.45">
      <c r="B48" s="95"/>
      <c r="C48" s="102" t="s">
        <v>271</v>
      </c>
      <c r="I48" s="105"/>
    </row>
    <row r="49" spans="1:18" x14ac:dyDescent="0.45">
      <c r="B49" s="95" t="s">
        <v>266</v>
      </c>
      <c r="C49" s="102" t="s">
        <v>272</v>
      </c>
      <c r="I49" s="105"/>
    </row>
    <row r="50" spans="1:18" x14ac:dyDescent="0.45">
      <c r="B50" s="95"/>
      <c r="C50" s="102" t="s">
        <v>273</v>
      </c>
      <c r="I50" s="105"/>
    </row>
    <row r="51" spans="1:18" x14ac:dyDescent="0.45">
      <c r="B51" s="106"/>
      <c r="C51" s="107" t="s">
        <v>274</v>
      </c>
      <c r="D51" s="108"/>
      <c r="E51" s="108"/>
      <c r="F51" s="108"/>
      <c r="G51" s="108"/>
      <c r="H51" s="108"/>
      <c r="I51" s="141"/>
    </row>
    <row r="52" spans="1:18" ht="32.4" x14ac:dyDescent="0.45">
      <c r="F52" s="102"/>
      <c r="O52" s="88"/>
    </row>
    <row r="53" spans="1:18" ht="32.4" hidden="1" x14ac:dyDescent="0.45">
      <c r="B53" s="88" t="s">
        <v>275</v>
      </c>
      <c r="Q53" s="109"/>
    </row>
    <row r="54" spans="1:18" hidden="1" x14ac:dyDescent="0.45">
      <c r="A54" s="109"/>
      <c r="B54" s="16" t="s">
        <v>276</v>
      </c>
      <c r="C54" s="16" t="s">
        <v>277</v>
      </c>
      <c r="D54" s="16" t="s">
        <v>27</v>
      </c>
      <c r="E54" s="16" t="s">
        <v>29</v>
      </c>
      <c r="F54" s="513" t="s">
        <v>278</v>
      </c>
      <c r="G54" s="515"/>
      <c r="H54" s="16" t="s">
        <v>279</v>
      </c>
      <c r="I54" s="16" t="s">
        <v>280</v>
      </c>
      <c r="Q54" s="109"/>
      <c r="R54" s="651"/>
    </row>
    <row r="55" spans="1:18" ht="18.600000000000001" hidden="1" customHeight="1" x14ac:dyDescent="0.45">
      <c r="B55" s="624" t="s">
        <v>131</v>
      </c>
      <c r="C55" s="110" t="s">
        <v>281</v>
      </c>
      <c r="D55" s="111" t="s">
        <v>282</v>
      </c>
      <c r="E55" s="16" t="s">
        <v>283</v>
      </c>
      <c r="F55" s="652" t="s">
        <v>284</v>
      </c>
      <c r="G55" s="641"/>
      <c r="H55" s="112">
        <f>0.227*$D$31^0.444*100*G30</f>
        <v>0</v>
      </c>
      <c r="I55" s="1" t="s">
        <v>285</v>
      </c>
      <c r="K55" s="113"/>
      <c r="O55" s="653"/>
      <c r="Q55" s="109"/>
      <c r="R55" s="651"/>
    </row>
    <row r="56" spans="1:18" ht="19.5" hidden="1" customHeight="1" x14ac:dyDescent="0.45">
      <c r="B56" s="646"/>
      <c r="C56" s="114"/>
      <c r="D56" s="10" t="s">
        <v>286</v>
      </c>
      <c r="E56" s="16" t="s">
        <v>283</v>
      </c>
      <c r="F56" s="640" t="s">
        <v>287</v>
      </c>
      <c r="G56" s="641"/>
      <c r="H56" s="112">
        <f>0.434*$D$31^0.373*100*G30</f>
        <v>0</v>
      </c>
      <c r="I56" s="1" t="s">
        <v>288</v>
      </c>
      <c r="O56" s="653"/>
      <c r="Q56" s="109"/>
      <c r="R56" s="147"/>
    </row>
    <row r="57" spans="1:18" ht="19.5" hidden="1" customHeight="1" x14ac:dyDescent="0.45">
      <c r="B57" s="646"/>
      <c r="C57" s="114"/>
      <c r="D57" s="10" t="s">
        <v>289</v>
      </c>
      <c r="E57" s="16" t="s">
        <v>283</v>
      </c>
      <c r="F57" s="640" t="s">
        <v>42</v>
      </c>
      <c r="G57" s="641"/>
      <c r="H57" s="112" t="s">
        <v>42</v>
      </c>
      <c r="I57" s="1" t="s">
        <v>290</v>
      </c>
      <c r="O57" s="653"/>
      <c r="Q57" s="109"/>
      <c r="R57" s="147"/>
    </row>
    <row r="58" spans="1:18" ht="19.5" hidden="1" customHeight="1" x14ac:dyDescent="0.45">
      <c r="B58" s="646"/>
      <c r="C58" s="114"/>
      <c r="D58" s="10" t="s">
        <v>291</v>
      </c>
      <c r="E58" s="16" t="s">
        <v>292</v>
      </c>
      <c r="F58" s="640" t="s">
        <v>293</v>
      </c>
      <c r="G58" s="641"/>
      <c r="H58" s="112">
        <f>0.039*D36^0.596</f>
        <v>0</v>
      </c>
      <c r="I58" s="1" t="s">
        <v>294</v>
      </c>
      <c r="O58" s="653"/>
      <c r="Q58" s="109"/>
      <c r="R58" s="147"/>
    </row>
    <row r="59" spans="1:18" ht="19.5" hidden="1" customHeight="1" x14ac:dyDescent="0.45">
      <c r="B59" s="646"/>
      <c r="C59" s="110" t="s">
        <v>295</v>
      </c>
      <c r="D59" s="111" t="s">
        <v>282</v>
      </c>
      <c r="E59" s="16" t="s">
        <v>283</v>
      </c>
      <c r="F59" s="640" t="s">
        <v>296</v>
      </c>
      <c r="G59" s="641"/>
      <c r="H59" s="112">
        <f>2.426*$D$30^0.0094*100*G30</f>
        <v>0</v>
      </c>
      <c r="I59" s="1" t="s">
        <v>297</v>
      </c>
      <c r="O59" s="653"/>
      <c r="R59" s="147"/>
    </row>
    <row r="60" spans="1:18" ht="19.5" hidden="1" customHeight="1" x14ac:dyDescent="0.45">
      <c r="B60" s="646"/>
      <c r="C60" s="114"/>
      <c r="D60" s="10" t="s">
        <v>286</v>
      </c>
      <c r="E60" s="16" t="s">
        <v>283</v>
      </c>
      <c r="F60" s="640" t="s">
        <v>298</v>
      </c>
      <c r="G60" s="641"/>
      <c r="H60" s="112">
        <f>1.888*$D$30^0.597*100*G30</f>
        <v>0</v>
      </c>
      <c r="I60" s="2" t="s">
        <v>299</v>
      </c>
      <c r="O60" s="653"/>
      <c r="Q60" s="109"/>
      <c r="R60" s="147"/>
    </row>
    <row r="61" spans="1:18" ht="19.5" hidden="1" customHeight="1" x14ac:dyDescent="0.45">
      <c r="B61" s="646"/>
      <c r="C61" s="114"/>
      <c r="D61" s="143" t="s">
        <v>289</v>
      </c>
      <c r="E61" s="16" t="s">
        <v>283</v>
      </c>
      <c r="F61" s="640" t="s">
        <v>300</v>
      </c>
      <c r="G61" s="641"/>
      <c r="H61" s="112">
        <f>0.726*$D$30^0.539*100*G30</f>
        <v>0</v>
      </c>
      <c r="I61" s="1" t="s">
        <v>301</v>
      </c>
      <c r="O61" s="653"/>
      <c r="Q61" s="109"/>
      <c r="R61" s="147"/>
    </row>
    <row r="62" spans="1:18" ht="19.5" hidden="1" customHeight="1" x14ac:dyDescent="0.45">
      <c r="B62" s="646"/>
      <c r="C62" s="115"/>
      <c r="D62" s="10" t="s">
        <v>302</v>
      </c>
      <c r="E62" s="16" t="s">
        <v>292</v>
      </c>
      <c r="F62" s="513" t="s">
        <v>303</v>
      </c>
      <c r="G62" s="515"/>
      <c r="H62" s="112">
        <f>0.287*D35^0.673</f>
        <v>0</v>
      </c>
      <c r="I62" s="1" t="s">
        <v>304</v>
      </c>
      <c r="O62" s="653"/>
      <c r="Q62" s="109"/>
    </row>
    <row r="63" spans="1:18" ht="19.5" hidden="1" customHeight="1" x14ac:dyDescent="0.45">
      <c r="B63" s="646"/>
      <c r="C63" s="115"/>
      <c r="D63" s="10" t="s">
        <v>305</v>
      </c>
      <c r="E63" s="16" t="s">
        <v>292</v>
      </c>
      <c r="F63" s="513" t="s">
        <v>306</v>
      </c>
      <c r="G63" s="515"/>
      <c r="H63" s="112">
        <f>D35*(1-D32/100)*(1-D33/100)/(1-30/100)*G36/1000000</f>
        <v>0</v>
      </c>
      <c r="I63" s="1" t="s">
        <v>307</v>
      </c>
      <c r="O63" s="653"/>
    </row>
    <row r="64" spans="1:18" ht="19.5" hidden="1" customHeight="1" x14ac:dyDescent="0.45">
      <c r="B64" s="646"/>
      <c r="C64" s="513" t="s">
        <v>308</v>
      </c>
      <c r="D64" s="515"/>
      <c r="E64" s="16" t="s">
        <v>283</v>
      </c>
      <c r="F64" s="513" t="s">
        <v>42</v>
      </c>
      <c r="G64" s="515"/>
      <c r="H64" s="112">
        <f>+H55+H56+H59+H60+H61</f>
        <v>0</v>
      </c>
      <c r="I64" s="1" t="s">
        <v>309</v>
      </c>
    </row>
    <row r="65" spans="2:17" ht="19.5" hidden="1" customHeight="1" x14ac:dyDescent="0.45">
      <c r="B65" s="646"/>
      <c r="C65" s="630" t="s">
        <v>310</v>
      </c>
      <c r="D65" s="631"/>
      <c r="E65" s="518" t="s">
        <v>292</v>
      </c>
      <c r="F65" s="636" t="s">
        <v>311</v>
      </c>
      <c r="G65" s="637"/>
      <c r="H65" s="654">
        <f>$H55*L65/100*(1+L65/100)^L67/((1+L65/100)^L67-1)
+$H56*L65/100*(1+L65/100)^L69/((1+L65/100)^L69-1)
+$H59*L65/100*(1+L65/100)^L67/((1+L65/100)^L67-1)
+$H60*L65/100*(1+L65/100)^L68/((1+L65/100)^L68-1)
+$H61*L65/100*(1+L65/100)^L70/((1+L65/100)^L70-1)</f>
        <v>0</v>
      </c>
      <c r="I65" s="644" t="s">
        <v>312</v>
      </c>
      <c r="K65" s="16" t="s">
        <v>313</v>
      </c>
      <c r="L65" s="91">
        <v>2.2999999999999998</v>
      </c>
      <c r="Q65" s="116"/>
    </row>
    <row r="66" spans="2:17" ht="19.5" hidden="1" customHeight="1" x14ac:dyDescent="0.45">
      <c r="B66" s="646"/>
      <c r="C66" s="632"/>
      <c r="D66" s="633"/>
      <c r="E66" s="517"/>
      <c r="F66" s="638"/>
      <c r="G66" s="639"/>
      <c r="H66" s="655"/>
      <c r="I66" s="645"/>
      <c r="K66" s="521" t="s">
        <v>314</v>
      </c>
      <c r="L66" s="521"/>
    </row>
    <row r="67" spans="2:17" ht="19.5" hidden="1" customHeight="1" x14ac:dyDescent="0.45">
      <c r="B67" s="646"/>
      <c r="C67" s="636" t="s">
        <v>315</v>
      </c>
      <c r="D67" s="637"/>
      <c r="E67" s="518" t="s">
        <v>292</v>
      </c>
      <c r="F67" s="630" t="s">
        <v>42</v>
      </c>
      <c r="G67" s="631"/>
      <c r="H67" s="649">
        <f>H58+H62+H63</f>
        <v>0</v>
      </c>
      <c r="I67" s="624" t="s">
        <v>316</v>
      </c>
      <c r="K67" s="16" t="s">
        <v>317</v>
      </c>
      <c r="L67" s="117">
        <v>50</v>
      </c>
    </row>
    <row r="68" spans="2:17" ht="19.2" hidden="1" customHeight="1" x14ac:dyDescent="0.45">
      <c r="B68" s="646"/>
      <c r="C68" s="638"/>
      <c r="D68" s="639"/>
      <c r="E68" s="517"/>
      <c r="F68" s="632"/>
      <c r="G68" s="633"/>
      <c r="H68" s="650"/>
      <c r="I68" s="625"/>
      <c r="K68" s="13" t="s">
        <v>318</v>
      </c>
      <c r="L68" s="118">
        <v>10</v>
      </c>
    </row>
    <row r="69" spans="2:17" ht="19.2" hidden="1" customHeight="1" x14ac:dyDescent="0.45">
      <c r="B69" s="646"/>
      <c r="C69" s="513" t="s">
        <v>319</v>
      </c>
      <c r="D69" s="515"/>
      <c r="E69" s="16" t="s">
        <v>292</v>
      </c>
      <c r="F69" s="513" t="s">
        <v>320</v>
      </c>
      <c r="G69" s="515"/>
      <c r="H69" s="119">
        <f>H65*0.1</f>
        <v>0</v>
      </c>
      <c r="I69" s="146" t="s">
        <v>321</v>
      </c>
      <c r="K69" s="13" t="s">
        <v>322</v>
      </c>
      <c r="L69" s="120">
        <v>15</v>
      </c>
    </row>
    <row r="70" spans="2:17" ht="18.600000000000001" hidden="1" customHeight="1" x14ac:dyDescent="0.45">
      <c r="B70" s="646"/>
      <c r="C70" s="626" t="s">
        <v>323</v>
      </c>
      <c r="D70" s="627"/>
      <c r="E70" s="518" t="s">
        <v>292</v>
      </c>
      <c r="F70" s="630" t="s">
        <v>42</v>
      </c>
      <c r="G70" s="631"/>
      <c r="H70" s="649">
        <f>+H65+H67+H69</f>
        <v>0</v>
      </c>
      <c r="I70" s="624" t="s">
        <v>324</v>
      </c>
      <c r="K70" s="16" t="s">
        <v>325</v>
      </c>
      <c r="L70" s="91">
        <v>15</v>
      </c>
      <c r="O70" s="88"/>
    </row>
    <row r="71" spans="2:17" ht="18.600000000000001" hidden="1" customHeight="1" x14ac:dyDescent="0.45">
      <c r="B71" s="625"/>
      <c r="C71" s="628"/>
      <c r="D71" s="629"/>
      <c r="E71" s="517"/>
      <c r="F71" s="632"/>
      <c r="G71" s="633"/>
      <c r="H71" s="650"/>
      <c r="I71" s="625"/>
      <c r="Q71" s="109"/>
    </row>
    <row r="72" spans="2:17" ht="19.5" hidden="1" customHeight="1" x14ac:dyDescent="0.45">
      <c r="B72" s="624" t="s">
        <v>326</v>
      </c>
      <c r="C72" s="110" t="s">
        <v>281</v>
      </c>
      <c r="D72" s="143" t="s">
        <v>286</v>
      </c>
      <c r="E72" s="16" t="s">
        <v>283</v>
      </c>
      <c r="F72" s="647" t="s">
        <v>327</v>
      </c>
      <c r="G72" s="648"/>
      <c r="H72" s="112">
        <f>3.365*$D$30+444.3</f>
        <v>444.3</v>
      </c>
      <c r="I72" s="121" t="s">
        <v>328</v>
      </c>
      <c r="K72" s="113"/>
      <c r="Q72" s="109"/>
    </row>
    <row r="73" spans="2:17" ht="36" hidden="1" x14ac:dyDescent="0.45">
      <c r="B73" s="646"/>
      <c r="C73" s="115"/>
      <c r="D73" s="143" t="s">
        <v>329</v>
      </c>
      <c r="E73" s="135" t="s">
        <v>330</v>
      </c>
      <c r="F73" s="640" t="s">
        <v>331</v>
      </c>
      <c r="G73" s="641"/>
      <c r="H73" s="122">
        <f>4.654*$D$30</f>
        <v>0</v>
      </c>
      <c r="I73" s="123" t="s">
        <v>332</v>
      </c>
      <c r="Q73" s="109"/>
    </row>
    <row r="74" spans="2:17" ht="19.5" hidden="1" customHeight="1" x14ac:dyDescent="0.45">
      <c r="B74" s="646"/>
      <c r="C74" s="115"/>
      <c r="D74" s="146"/>
      <c r="E74" s="134" t="s">
        <v>292</v>
      </c>
      <c r="F74" s="642" t="s">
        <v>333</v>
      </c>
      <c r="G74" s="643"/>
      <c r="H74" s="122">
        <f>H73*G31*10^-3</f>
        <v>0</v>
      </c>
      <c r="I74" s="124" t="s">
        <v>334</v>
      </c>
      <c r="Q74" s="109"/>
    </row>
    <row r="75" spans="2:17" ht="36" hidden="1" x14ac:dyDescent="0.45">
      <c r="B75" s="646"/>
      <c r="C75" s="115"/>
      <c r="D75" s="143" t="s">
        <v>335</v>
      </c>
      <c r="E75" s="135" t="s">
        <v>336</v>
      </c>
      <c r="F75" s="640" t="s">
        <v>337</v>
      </c>
      <c r="G75" s="641"/>
      <c r="H75" s="122">
        <f>0.516*$D$30</f>
        <v>0</v>
      </c>
      <c r="I75" s="124" t="s">
        <v>338</v>
      </c>
      <c r="Q75" s="109"/>
    </row>
    <row r="76" spans="2:17" ht="19.5" hidden="1" customHeight="1" x14ac:dyDescent="0.45">
      <c r="B76" s="646"/>
      <c r="C76" s="115"/>
      <c r="D76" s="146"/>
      <c r="E76" s="134" t="s">
        <v>292</v>
      </c>
      <c r="F76" s="642" t="s">
        <v>339</v>
      </c>
      <c r="G76" s="643"/>
      <c r="H76" s="122">
        <f>H75*G32*10^-6</f>
        <v>0</v>
      </c>
      <c r="I76" s="124" t="s">
        <v>340</v>
      </c>
      <c r="Q76" s="116"/>
    </row>
    <row r="77" spans="2:17" ht="36" hidden="1" x14ac:dyDescent="0.45">
      <c r="B77" s="646"/>
      <c r="C77" s="115"/>
      <c r="D77" s="143" t="s">
        <v>341</v>
      </c>
      <c r="E77" s="135" t="s">
        <v>336</v>
      </c>
      <c r="F77" s="640" t="s">
        <v>342</v>
      </c>
      <c r="G77" s="641"/>
      <c r="H77" s="122">
        <f>3.688*$D$30</f>
        <v>0</v>
      </c>
      <c r="I77" s="124" t="s">
        <v>343</v>
      </c>
      <c r="Q77" s="116"/>
    </row>
    <row r="78" spans="2:17" ht="19.5" hidden="1" customHeight="1" x14ac:dyDescent="0.45">
      <c r="B78" s="646"/>
      <c r="C78" s="115"/>
      <c r="D78" s="144"/>
      <c r="E78" s="134" t="s">
        <v>292</v>
      </c>
      <c r="F78" s="642" t="s">
        <v>339</v>
      </c>
      <c r="G78" s="643"/>
      <c r="H78" s="122">
        <f>H77*G33*10^-6</f>
        <v>0</v>
      </c>
      <c r="I78" s="124" t="s">
        <v>344</v>
      </c>
      <c r="Q78" s="116"/>
    </row>
    <row r="79" spans="2:17" ht="19.5" hidden="1" customHeight="1" x14ac:dyDescent="0.45">
      <c r="B79" s="646"/>
      <c r="C79" s="110" t="s">
        <v>345</v>
      </c>
      <c r="D79" s="111" t="s">
        <v>282</v>
      </c>
      <c r="E79" s="16" t="s">
        <v>283</v>
      </c>
      <c r="F79" s="640" t="s">
        <v>346</v>
      </c>
      <c r="G79" s="641"/>
      <c r="H79" s="122">
        <f>0.438*$D$30+117</f>
        <v>117</v>
      </c>
      <c r="I79" s="124" t="s">
        <v>347</v>
      </c>
      <c r="Q79" s="116"/>
    </row>
    <row r="80" spans="2:17" ht="19.5" hidden="1" customHeight="1" x14ac:dyDescent="0.45">
      <c r="B80" s="646"/>
      <c r="C80" s="115"/>
      <c r="D80" s="10" t="s">
        <v>286</v>
      </c>
      <c r="E80" s="16" t="s">
        <v>283</v>
      </c>
      <c r="F80" s="640" t="s">
        <v>348</v>
      </c>
      <c r="G80" s="641"/>
      <c r="H80" s="122">
        <f>9*$D$30+1533</f>
        <v>1533</v>
      </c>
      <c r="I80" s="124" t="s">
        <v>349</v>
      </c>
      <c r="Q80" s="116"/>
    </row>
    <row r="81" spans="2:17" ht="19.5" hidden="1" customHeight="1" x14ac:dyDescent="0.45">
      <c r="B81" s="646"/>
      <c r="C81" s="115"/>
      <c r="D81" s="10" t="s">
        <v>289</v>
      </c>
      <c r="E81" s="16" t="s">
        <v>283</v>
      </c>
      <c r="F81" s="640" t="s">
        <v>350</v>
      </c>
      <c r="G81" s="641"/>
      <c r="H81" s="122">
        <f>1*$D$30+600</f>
        <v>600</v>
      </c>
      <c r="I81" s="124" t="s">
        <v>351</v>
      </c>
      <c r="Q81" s="116"/>
    </row>
    <row r="82" spans="2:17" ht="36" hidden="1" x14ac:dyDescent="0.45">
      <c r="B82" s="646"/>
      <c r="C82" s="115"/>
      <c r="D82" s="143" t="s">
        <v>329</v>
      </c>
      <c r="E82" s="135" t="s">
        <v>330</v>
      </c>
      <c r="F82" s="640" t="s">
        <v>352</v>
      </c>
      <c r="G82" s="641"/>
      <c r="H82" s="122">
        <f>15.26*$D$30+115</f>
        <v>115</v>
      </c>
      <c r="I82" s="123" t="s">
        <v>332</v>
      </c>
      <c r="Q82" s="116"/>
    </row>
    <row r="83" spans="2:17" ht="19.5" hidden="1" customHeight="1" x14ac:dyDescent="0.45">
      <c r="B83" s="646"/>
      <c r="C83" s="115"/>
      <c r="D83" s="146"/>
      <c r="E83" s="134" t="s">
        <v>292</v>
      </c>
      <c r="F83" s="642" t="s">
        <v>333</v>
      </c>
      <c r="G83" s="643"/>
      <c r="H83" s="122">
        <f>H82*G31*10^-3</f>
        <v>0</v>
      </c>
      <c r="I83" s="124" t="s">
        <v>353</v>
      </c>
      <c r="Q83" s="116"/>
    </row>
    <row r="84" spans="2:17" ht="36" hidden="1" x14ac:dyDescent="0.45">
      <c r="B84" s="646"/>
      <c r="C84" s="115"/>
      <c r="D84" s="143" t="s">
        <v>354</v>
      </c>
      <c r="E84" s="135" t="s">
        <v>355</v>
      </c>
      <c r="F84" s="640" t="s">
        <v>356</v>
      </c>
      <c r="G84" s="641"/>
      <c r="H84" s="122">
        <f>0.252*$D$30+1.439</f>
        <v>1.4390000000000001</v>
      </c>
      <c r="I84" s="124" t="s">
        <v>357</v>
      </c>
      <c r="Q84" s="116"/>
    </row>
    <row r="85" spans="2:17" ht="19.5" hidden="1" customHeight="1" x14ac:dyDescent="0.45">
      <c r="B85" s="646"/>
      <c r="C85" s="115"/>
      <c r="D85" s="144"/>
      <c r="E85" s="134" t="s">
        <v>292</v>
      </c>
      <c r="F85" s="642" t="s">
        <v>358</v>
      </c>
      <c r="G85" s="643"/>
      <c r="H85" s="122">
        <f>H84*G34*10^-3</f>
        <v>0</v>
      </c>
      <c r="I85" s="124" t="s">
        <v>359</v>
      </c>
      <c r="Q85" s="116"/>
    </row>
    <row r="86" spans="2:17" ht="36" hidden="1" x14ac:dyDescent="0.45">
      <c r="B86" s="646"/>
      <c r="C86" s="115"/>
      <c r="D86" s="143" t="s">
        <v>360</v>
      </c>
      <c r="E86" s="135" t="s">
        <v>361</v>
      </c>
      <c r="F86" s="640" t="s">
        <v>362</v>
      </c>
      <c r="G86" s="641"/>
      <c r="H86" s="122">
        <f>4.05*$D$30</f>
        <v>0</v>
      </c>
      <c r="I86" s="123" t="s">
        <v>363</v>
      </c>
      <c r="Q86" s="116"/>
    </row>
    <row r="87" spans="2:17" ht="19.5" hidden="1" customHeight="1" x14ac:dyDescent="0.45">
      <c r="B87" s="646"/>
      <c r="C87" s="115"/>
      <c r="D87" s="144"/>
      <c r="E87" s="134" t="s">
        <v>292</v>
      </c>
      <c r="F87" s="642" t="s">
        <v>364</v>
      </c>
      <c r="G87" s="643"/>
      <c r="H87" s="122">
        <f>H86*G35*10^-3</f>
        <v>0</v>
      </c>
      <c r="I87" s="124" t="s">
        <v>365</v>
      </c>
      <c r="Q87" s="116"/>
    </row>
    <row r="88" spans="2:17" ht="36" hidden="1" x14ac:dyDescent="0.45">
      <c r="B88" s="646"/>
      <c r="C88" s="115"/>
      <c r="D88" s="143" t="s">
        <v>366</v>
      </c>
      <c r="E88" s="135" t="s">
        <v>367</v>
      </c>
      <c r="F88" s="640" t="s">
        <v>368</v>
      </c>
      <c r="G88" s="641"/>
      <c r="H88" s="122">
        <f>17.101*$D$30</f>
        <v>0</v>
      </c>
      <c r="I88" s="123" t="s">
        <v>332</v>
      </c>
      <c r="Q88" s="116"/>
    </row>
    <row r="89" spans="2:17" ht="19.5" hidden="1" customHeight="1" x14ac:dyDescent="0.45">
      <c r="B89" s="646"/>
      <c r="C89" s="115"/>
      <c r="D89" s="144"/>
      <c r="E89" s="134" t="s">
        <v>292</v>
      </c>
      <c r="F89" s="642" t="s">
        <v>369</v>
      </c>
      <c r="G89" s="643"/>
      <c r="H89" s="122">
        <f>H88*G36*10^-6</f>
        <v>0</v>
      </c>
      <c r="I89" s="124" t="s">
        <v>370</v>
      </c>
      <c r="Q89" s="116"/>
    </row>
    <row r="90" spans="2:17" ht="19.5" hidden="1" customHeight="1" x14ac:dyDescent="0.45">
      <c r="B90" s="646"/>
      <c r="C90" s="110" t="s">
        <v>371</v>
      </c>
      <c r="D90" s="10" t="s">
        <v>286</v>
      </c>
      <c r="E90" s="16" t="s">
        <v>283</v>
      </c>
      <c r="F90" s="640" t="s">
        <v>372</v>
      </c>
      <c r="G90" s="641"/>
      <c r="H90" s="122">
        <f>0.772*$D$30+282</f>
        <v>282</v>
      </c>
      <c r="I90" s="124" t="s">
        <v>373</v>
      </c>
      <c r="Q90" s="116"/>
    </row>
    <row r="91" spans="2:17" ht="36" hidden="1" x14ac:dyDescent="0.45">
      <c r="B91" s="646"/>
      <c r="C91" s="115"/>
      <c r="D91" s="143" t="s">
        <v>329</v>
      </c>
      <c r="E91" s="135" t="s">
        <v>330</v>
      </c>
      <c r="F91" s="640" t="s">
        <v>374</v>
      </c>
      <c r="G91" s="641"/>
      <c r="H91" s="122">
        <f>0.32*$D$30+57.44</f>
        <v>57.44</v>
      </c>
      <c r="I91" s="123" t="s">
        <v>332</v>
      </c>
      <c r="Q91" s="116"/>
    </row>
    <row r="92" spans="2:17" ht="19.5" hidden="1" customHeight="1" x14ac:dyDescent="0.45">
      <c r="B92" s="646"/>
      <c r="C92" s="115"/>
      <c r="D92" s="146"/>
      <c r="E92" s="134" t="s">
        <v>292</v>
      </c>
      <c r="F92" s="642" t="s">
        <v>333</v>
      </c>
      <c r="G92" s="643"/>
      <c r="H92" s="122">
        <f>H91*G31*10^-3</f>
        <v>0</v>
      </c>
      <c r="I92" s="124" t="s">
        <v>375</v>
      </c>
      <c r="Q92" s="116"/>
    </row>
    <row r="93" spans="2:17" ht="36" hidden="1" x14ac:dyDescent="0.45">
      <c r="B93" s="646"/>
      <c r="C93" s="115"/>
      <c r="D93" s="143" t="s">
        <v>376</v>
      </c>
      <c r="E93" s="135" t="s">
        <v>377</v>
      </c>
      <c r="F93" s="640" t="s">
        <v>378</v>
      </c>
      <c r="G93" s="641"/>
      <c r="H93" s="122">
        <f>13.04*$D$30-275.1</f>
        <v>-275.10000000000002</v>
      </c>
      <c r="I93" s="123" t="s">
        <v>332</v>
      </c>
      <c r="Q93" s="116"/>
    </row>
    <row r="94" spans="2:17" ht="19.5" hidden="1" customHeight="1" x14ac:dyDescent="0.45">
      <c r="B94" s="646"/>
      <c r="C94" s="115"/>
      <c r="D94" s="144"/>
      <c r="E94" s="134" t="s">
        <v>292</v>
      </c>
      <c r="F94" s="634" t="s">
        <v>379</v>
      </c>
      <c r="G94" s="635"/>
      <c r="H94" s="122">
        <f>H93*G31*10^-3</f>
        <v>0</v>
      </c>
      <c r="I94" s="1" t="s">
        <v>380</v>
      </c>
      <c r="K94" s="99"/>
      <c r="L94" s="99"/>
      <c r="Q94" s="116"/>
    </row>
    <row r="95" spans="2:17" ht="19.2" hidden="1" customHeight="1" x14ac:dyDescent="0.45">
      <c r="B95" s="646"/>
      <c r="C95" s="513" t="s">
        <v>308</v>
      </c>
      <c r="D95" s="515"/>
      <c r="E95" s="16" t="s">
        <v>283</v>
      </c>
      <c r="F95" s="513" t="s">
        <v>42</v>
      </c>
      <c r="G95" s="515"/>
      <c r="H95" s="122">
        <f>+H72+H79+H80+H81+H90</f>
        <v>2976.3</v>
      </c>
      <c r="I95" s="1" t="s">
        <v>381</v>
      </c>
      <c r="K95" s="99"/>
      <c r="L95" s="99"/>
      <c r="Q95" s="116"/>
    </row>
    <row r="96" spans="2:17" ht="19.2" hidden="1" customHeight="1" x14ac:dyDescent="0.45">
      <c r="B96" s="646"/>
      <c r="C96" s="630" t="s">
        <v>310</v>
      </c>
      <c r="D96" s="631"/>
      <c r="E96" s="518" t="s">
        <v>292</v>
      </c>
      <c r="F96" s="630" t="s">
        <v>382</v>
      </c>
      <c r="G96" s="631"/>
      <c r="H96" s="622">
        <f>+H72*L96/100*(1+L96/100)^L100/((1+L96/100)^L100-1)
+H79*L96/100*(1+L96/100)^L98/((1+L96/100)^L98-1)
+H80*L96/100*(1+L96/100)^L99/((1+L96/100)^L99-1)
+H81*L96/100*(1+L96/100)^L101/((1+L96/100)^L101-1)
+H90*L96/100*(1+L96/100)^L100/((1+L96/100)^L100-1)</f>
        <v>282.8661133693297</v>
      </c>
      <c r="I96" s="644" t="s">
        <v>383</v>
      </c>
      <c r="K96" s="94" t="s">
        <v>313</v>
      </c>
      <c r="L96" s="93">
        <v>2.2999999999999998</v>
      </c>
      <c r="Q96" s="116"/>
    </row>
    <row r="97" spans="2:17" ht="19.5" hidden="1" customHeight="1" x14ac:dyDescent="0.45">
      <c r="B97" s="646"/>
      <c r="C97" s="632"/>
      <c r="D97" s="633"/>
      <c r="E97" s="517"/>
      <c r="F97" s="632"/>
      <c r="G97" s="633"/>
      <c r="H97" s="623"/>
      <c r="I97" s="645"/>
      <c r="K97" s="615" t="s">
        <v>314</v>
      </c>
      <c r="L97" s="615"/>
      <c r="Q97" s="116"/>
    </row>
    <row r="98" spans="2:17" ht="18" hidden="1" customHeight="1" x14ac:dyDescent="0.45">
      <c r="B98" s="646"/>
      <c r="C98" s="125" t="s">
        <v>384</v>
      </c>
      <c r="D98" s="616" t="s">
        <v>385</v>
      </c>
      <c r="E98" s="518" t="s">
        <v>292</v>
      </c>
      <c r="F98" s="618" t="s">
        <v>386</v>
      </c>
      <c r="G98" s="619"/>
      <c r="H98" s="622">
        <f>+H72*0.024+(H79+H80+H81)*0.024+H90*0.013</f>
        <v>68.3292</v>
      </c>
      <c r="I98" s="624" t="s">
        <v>387</v>
      </c>
      <c r="K98" s="142" t="s">
        <v>317</v>
      </c>
      <c r="L98" s="93">
        <v>50</v>
      </c>
      <c r="Q98" s="116"/>
    </row>
    <row r="99" spans="2:17" hidden="1" x14ac:dyDescent="0.45">
      <c r="B99" s="646"/>
      <c r="C99" s="115"/>
      <c r="D99" s="617"/>
      <c r="E99" s="517"/>
      <c r="F99" s="620"/>
      <c r="G99" s="621"/>
      <c r="H99" s="623"/>
      <c r="I99" s="625"/>
      <c r="K99" s="139" t="s">
        <v>318</v>
      </c>
      <c r="L99" s="126">
        <v>10</v>
      </c>
      <c r="Q99" s="127"/>
    </row>
    <row r="100" spans="2:17" ht="19.5" hidden="1" customHeight="1" x14ac:dyDescent="0.45">
      <c r="B100" s="646"/>
      <c r="C100" s="115"/>
      <c r="D100" s="10" t="s">
        <v>388</v>
      </c>
      <c r="E100" s="134" t="s">
        <v>292</v>
      </c>
      <c r="F100" s="634" t="s">
        <v>389</v>
      </c>
      <c r="G100" s="635"/>
      <c r="H100" s="122">
        <f>7*1+4*12</f>
        <v>55</v>
      </c>
      <c r="I100" s="1" t="s">
        <v>390</v>
      </c>
      <c r="K100" s="139" t="s">
        <v>322</v>
      </c>
      <c r="L100" s="126">
        <v>15</v>
      </c>
      <c r="Q100" s="116"/>
    </row>
    <row r="101" spans="2:17" ht="19.5" hidden="1" customHeight="1" x14ac:dyDescent="0.45">
      <c r="B101" s="646"/>
      <c r="C101" s="636" t="s">
        <v>315</v>
      </c>
      <c r="D101" s="637"/>
      <c r="E101" s="518" t="s">
        <v>292</v>
      </c>
      <c r="F101" s="630" t="s">
        <v>42</v>
      </c>
      <c r="G101" s="631"/>
      <c r="H101" s="622">
        <f>H74+H76+H78+H83+H85+H87+H89+H92+H98+H100-H94</f>
        <v>123.3292</v>
      </c>
      <c r="I101" s="624" t="s">
        <v>391</v>
      </c>
      <c r="K101" s="142" t="s">
        <v>325</v>
      </c>
      <c r="L101" s="93">
        <v>15</v>
      </c>
      <c r="Q101" s="116"/>
    </row>
    <row r="102" spans="2:17" ht="19.5" hidden="1" customHeight="1" x14ac:dyDescent="0.45">
      <c r="B102" s="646"/>
      <c r="C102" s="638"/>
      <c r="D102" s="639"/>
      <c r="E102" s="517"/>
      <c r="F102" s="632"/>
      <c r="G102" s="633"/>
      <c r="H102" s="623"/>
      <c r="I102" s="625"/>
      <c r="K102" s="96"/>
      <c r="L102" s="96"/>
      <c r="Q102" s="116"/>
    </row>
    <row r="103" spans="2:17" ht="19.5" hidden="1" customHeight="1" x14ac:dyDescent="0.45">
      <c r="B103" s="646"/>
      <c r="C103" s="513" t="s">
        <v>319</v>
      </c>
      <c r="D103" s="515"/>
      <c r="E103" s="16" t="s">
        <v>292</v>
      </c>
      <c r="F103" s="513" t="s">
        <v>320</v>
      </c>
      <c r="G103" s="515"/>
      <c r="H103" s="137">
        <f>H96*0.1</f>
        <v>28.286611336932971</v>
      </c>
      <c r="I103" s="146" t="s">
        <v>392</v>
      </c>
      <c r="Q103" s="116"/>
    </row>
    <row r="104" spans="2:17" ht="19.5" hidden="1" customHeight="1" x14ac:dyDescent="0.45">
      <c r="B104" s="646"/>
      <c r="C104" s="626" t="s">
        <v>323</v>
      </c>
      <c r="D104" s="627"/>
      <c r="E104" s="518" t="s">
        <v>292</v>
      </c>
      <c r="F104" s="630" t="s">
        <v>42</v>
      </c>
      <c r="G104" s="631"/>
      <c r="H104" s="622">
        <f>H96+H101+H103</f>
        <v>434.4819247062627</v>
      </c>
      <c r="I104" s="624" t="s">
        <v>393</v>
      </c>
    </row>
    <row r="105" spans="2:17" ht="19.5" hidden="1" customHeight="1" x14ac:dyDescent="0.45">
      <c r="B105" s="646"/>
      <c r="C105" s="628"/>
      <c r="D105" s="629"/>
      <c r="E105" s="517"/>
      <c r="F105" s="632"/>
      <c r="G105" s="633"/>
      <c r="H105" s="623"/>
      <c r="I105" s="625"/>
    </row>
    <row r="106" spans="2:17" ht="39" hidden="1" customHeight="1" x14ac:dyDescent="0.45">
      <c r="B106" s="607" t="s">
        <v>394</v>
      </c>
      <c r="C106" s="608"/>
      <c r="D106" s="609"/>
      <c r="E106" s="16" t="s">
        <v>395</v>
      </c>
      <c r="F106" s="513" t="s">
        <v>42</v>
      </c>
      <c r="G106" s="515"/>
      <c r="H106" s="128" t="e">
        <f>1-H104/H70</f>
        <v>#DIV/0!</v>
      </c>
      <c r="I106" s="1" t="s">
        <v>396</v>
      </c>
    </row>
    <row r="107" spans="2:17" ht="19.5" customHeight="1" x14ac:dyDescent="0.45">
      <c r="H107" s="129"/>
    </row>
    <row r="108" spans="2:17" ht="32.4" x14ac:dyDescent="0.45">
      <c r="B108" s="88" t="s">
        <v>397</v>
      </c>
      <c r="H108" s="129"/>
    </row>
    <row r="109" spans="2:17" ht="19.5" customHeight="1" x14ac:dyDescent="0.45">
      <c r="B109" s="465" t="s">
        <v>27</v>
      </c>
      <c r="C109" s="465"/>
      <c r="D109" s="465"/>
      <c r="E109" s="26" t="s">
        <v>29</v>
      </c>
      <c r="F109" s="548" t="s">
        <v>398</v>
      </c>
      <c r="G109" s="549"/>
      <c r="H109" s="291" t="s">
        <v>399</v>
      </c>
      <c r="I109" s="26" t="s">
        <v>400</v>
      </c>
    </row>
    <row r="110" spans="2:17" ht="19.5" customHeight="1" x14ac:dyDescent="0.45">
      <c r="B110" s="610" t="s">
        <v>131</v>
      </c>
      <c r="C110" s="591"/>
      <c r="D110" s="243" t="s">
        <v>401</v>
      </c>
      <c r="E110" s="245" t="s">
        <v>402</v>
      </c>
      <c r="F110" s="497" t="s">
        <v>403</v>
      </c>
      <c r="G110" s="499"/>
      <c r="H110" s="304">
        <f>D37</f>
        <v>0</v>
      </c>
      <c r="I110" s="295" t="s">
        <v>404</v>
      </c>
    </row>
    <row r="111" spans="2:17" ht="19.5" customHeight="1" x14ac:dyDescent="0.45">
      <c r="B111" s="611"/>
      <c r="C111" s="593"/>
      <c r="D111" s="244" t="s">
        <v>405</v>
      </c>
      <c r="E111" s="245" t="s">
        <v>402</v>
      </c>
      <c r="F111" s="497" t="s">
        <v>406</v>
      </c>
      <c r="G111" s="499"/>
      <c r="H111" s="304">
        <f>D38</f>
        <v>0</v>
      </c>
      <c r="I111" s="295" t="s">
        <v>407</v>
      </c>
    </row>
    <row r="112" spans="2:17" ht="18.75" customHeight="1" x14ac:dyDescent="0.45">
      <c r="B112" s="611"/>
      <c r="C112" s="612"/>
      <c r="D112" s="590" t="s">
        <v>408</v>
      </c>
      <c r="E112" s="292" t="s">
        <v>409</v>
      </c>
      <c r="F112" s="613" t="s">
        <v>410</v>
      </c>
      <c r="G112" s="574"/>
      <c r="H112" s="563">
        <f>D40</f>
        <v>0</v>
      </c>
      <c r="I112" s="603"/>
      <c r="K112" s="292" t="s">
        <v>411</v>
      </c>
      <c r="L112" s="605" t="str">
        <f>G39</f>
        <v/>
      </c>
    </row>
    <row r="113" spans="2:16" x14ac:dyDescent="0.45">
      <c r="B113" s="611"/>
      <c r="C113" s="612"/>
      <c r="D113" s="592"/>
      <c r="E113" s="247" t="str">
        <f>IF($D$39="","",VLOOKUP($D$39,$P$36:$U$39,6,FALSE))</f>
        <v/>
      </c>
      <c r="F113" s="614"/>
      <c r="G113" s="578"/>
      <c r="H113" s="565"/>
      <c r="I113" s="604"/>
      <c r="K113" s="247" t="str">
        <f>IF($D$39="","",VLOOKUP($D$39,$P$36:$V$39,7,FALSE))</f>
        <v/>
      </c>
      <c r="L113" s="606"/>
    </row>
    <row r="114" spans="2:16" x14ac:dyDescent="0.45">
      <c r="B114" s="592"/>
      <c r="C114" s="612"/>
      <c r="D114" s="598"/>
      <c r="E114" s="293" t="s">
        <v>402</v>
      </c>
      <c r="F114" s="497" t="s">
        <v>412</v>
      </c>
      <c r="G114" s="499"/>
      <c r="H114" s="304" t="e">
        <f>H112*L112*L114</f>
        <v>#VALUE!</v>
      </c>
      <c r="I114" s="250" t="s">
        <v>413</v>
      </c>
      <c r="K114" s="296" t="s">
        <v>414</v>
      </c>
      <c r="L114" s="391">
        <v>0.10544100000000001</v>
      </c>
    </row>
    <row r="115" spans="2:16" ht="19.5" customHeight="1" x14ac:dyDescent="0.45">
      <c r="B115" s="594"/>
      <c r="C115" s="595"/>
      <c r="D115" s="294" t="s">
        <v>415</v>
      </c>
      <c r="E115" s="245" t="s">
        <v>402</v>
      </c>
      <c r="F115" s="497" t="s">
        <v>42</v>
      </c>
      <c r="G115" s="499"/>
      <c r="H115" s="304" t="e">
        <f>H110+H111+H114</f>
        <v>#VALUE!</v>
      </c>
      <c r="I115" s="250" t="s">
        <v>416</v>
      </c>
    </row>
    <row r="116" spans="2:16" ht="19.5" customHeight="1" x14ac:dyDescent="0.45">
      <c r="B116" s="590" t="s">
        <v>326</v>
      </c>
      <c r="C116" s="591"/>
      <c r="D116" s="243" t="s">
        <v>401</v>
      </c>
      <c r="E116" s="245" t="s">
        <v>402</v>
      </c>
      <c r="F116" s="582" t="s">
        <v>417</v>
      </c>
      <c r="G116" s="583"/>
      <c r="H116" s="304">
        <f>H73</f>
        <v>0</v>
      </c>
      <c r="I116" s="250" t="s">
        <v>418</v>
      </c>
    </row>
    <row r="117" spans="2:16" ht="19.5" customHeight="1" x14ac:dyDescent="0.45">
      <c r="B117" s="592"/>
      <c r="C117" s="593"/>
      <c r="D117" s="243" t="s">
        <v>405</v>
      </c>
      <c r="E117" s="245" t="s">
        <v>402</v>
      </c>
      <c r="F117" s="582" t="s">
        <v>419</v>
      </c>
      <c r="G117" s="583"/>
      <c r="H117" s="304">
        <f>H82</f>
        <v>115</v>
      </c>
      <c r="I117" s="295" t="s">
        <v>420</v>
      </c>
    </row>
    <row r="118" spans="2:16" ht="19.5" customHeight="1" x14ac:dyDescent="0.45">
      <c r="B118" s="592"/>
      <c r="C118" s="593"/>
      <c r="D118" s="243" t="s">
        <v>421</v>
      </c>
      <c r="E118" s="245" t="s">
        <v>402</v>
      </c>
      <c r="F118" s="582" t="s">
        <v>422</v>
      </c>
      <c r="G118" s="583"/>
      <c r="H118" s="304">
        <f>H91</f>
        <v>57.44</v>
      </c>
      <c r="I118" s="250" t="s">
        <v>423</v>
      </c>
    </row>
    <row r="119" spans="2:16" x14ac:dyDescent="0.45">
      <c r="B119" s="592"/>
      <c r="C119" s="593"/>
      <c r="D119" s="596" t="s">
        <v>408</v>
      </c>
      <c r="E119" s="459" t="s">
        <v>355</v>
      </c>
      <c r="F119" s="586" t="s">
        <v>424</v>
      </c>
      <c r="G119" s="587"/>
      <c r="H119" s="563">
        <f>H84</f>
        <v>1.4390000000000001</v>
      </c>
      <c r="I119" s="599"/>
      <c r="K119" s="459" t="s">
        <v>425</v>
      </c>
      <c r="L119" s="601">
        <v>39.1</v>
      </c>
    </row>
    <row r="120" spans="2:16" x14ac:dyDescent="0.45">
      <c r="B120" s="592"/>
      <c r="C120" s="593"/>
      <c r="D120" s="597"/>
      <c r="E120" s="461"/>
      <c r="F120" s="588"/>
      <c r="G120" s="589"/>
      <c r="H120" s="565"/>
      <c r="I120" s="600"/>
      <c r="K120" s="461"/>
      <c r="L120" s="602"/>
    </row>
    <row r="121" spans="2:16" ht="19.5" customHeight="1" x14ac:dyDescent="0.45">
      <c r="B121" s="592"/>
      <c r="C121" s="593"/>
      <c r="D121" s="598"/>
      <c r="E121" s="245" t="s">
        <v>402</v>
      </c>
      <c r="F121" s="497" t="s">
        <v>412</v>
      </c>
      <c r="G121" s="499"/>
      <c r="H121" s="304">
        <f>H119*L119*L121</f>
        <v>5.9326273209000009</v>
      </c>
      <c r="I121" s="250" t="s">
        <v>426</v>
      </c>
      <c r="K121" s="87" t="s">
        <v>414</v>
      </c>
      <c r="L121" s="391">
        <v>0.10544100000000001</v>
      </c>
    </row>
    <row r="122" spans="2:16" ht="19.5" customHeight="1" x14ac:dyDescent="0.45">
      <c r="B122" s="592"/>
      <c r="C122" s="593"/>
      <c r="D122" s="156" t="s">
        <v>415</v>
      </c>
      <c r="E122" s="245" t="s">
        <v>402</v>
      </c>
      <c r="F122" s="497" t="s">
        <v>42</v>
      </c>
      <c r="G122" s="499"/>
      <c r="H122" s="304">
        <f>H116+H117+H118+H121</f>
        <v>178.37262732089999</v>
      </c>
      <c r="I122" s="250" t="s">
        <v>427</v>
      </c>
      <c r="P122" s="102"/>
    </row>
    <row r="123" spans="2:16" ht="19.5" customHeight="1" x14ac:dyDescent="0.45">
      <c r="B123" s="594"/>
      <c r="C123" s="595"/>
      <c r="D123" s="243" t="s">
        <v>428</v>
      </c>
      <c r="E123" s="245" t="s">
        <v>402</v>
      </c>
      <c r="F123" s="582" t="s">
        <v>429</v>
      </c>
      <c r="G123" s="583"/>
      <c r="H123" s="304">
        <f>H93</f>
        <v>-275.10000000000002</v>
      </c>
      <c r="I123" s="250" t="s">
        <v>430</v>
      </c>
    </row>
    <row r="124" spans="2:16" ht="39" customHeight="1" x14ac:dyDescent="0.45">
      <c r="B124" s="584" t="s">
        <v>397</v>
      </c>
      <c r="C124" s="585"/>
      <c r="D124" s="585"/>
      <c r="E124" s="156" t="s">
        <v>395</v>
      </c>
      <c r="F124" s="497" t="s">
        <v>42</v>
      </c>
      <c r="G124" s="499"/>
      <c r="H124" s="305" t="e">
        <f>1-(H122-H123)/H115</f>
        <v>#VALUE!</v>
      </c>
      <c r="I124" s="250" t="s">
        <v>431</v>
      </c>
    </row>
    <row r="125" spans="2:16" ht="19.5" customHeight="1" x14ac:dyDescent="0.45">
      <c r="H125" s="129"/>
    </row>
    <row r="126" spans="2:16" ht="33" customHeight="1" x14ac:dyDescent="0.45">
      <c r="B126" s="88" t="s">
        <v>432</v>
      </c>
      <c r="H126" s="129"/>
    </row>
    <row r="127" spans="2:16" ht="19.5" customHeight="1" x14ac:dyDescent="0.45">
      <c r="B127" s="465" t="s">
        <v>27</v>
      </c>
      <c r="C127" s="465"/>
      <c r="D127" s="493"/>
      <c r="E127" s="26" t="s">
        <v>29</v>
      </c>
      <c r="F127" s="548" t="s">
        <v>398</v>
      </c>
      <c r="G127" s="549"/>
      <c r="H127" s="291" t="s">
        <v>433</v>
      </c>
      <c r="I127" s="26" t="s">
        <v>280</v>
      </c>
    </row>
    <row r="128" spans="2:16" ht="19.5" customHeight="1" x14ac:dyDescent="0.45">
      <c r="B128" s="569" t="s">
        <v>131</v>
      </c>
      <c r="C128" s="570"/>
      <c r="D128" s="433" t="s">
        <v>434</v>
      </c>
      <c r="E128" s="278" t="s">
        <v>402</v>
      </c>
      <c r="F128" s="548" t="s">
        <v>435</v>
      </c>
      <c r="G128" s="549"/>
      <c r="H128" s="304">
        <f>H110+H111</f>
        <v>0</v>
      </c>
      <c r="I128" s="250" t="s">
        <v>436</v>
      </c>
      <c r="K128" s="479" t="s">
        <v>437</v>
      </c>
      <c r="L128" s="581">
        <v>0.25</v>
      </c>
    </row>
    <row r="129" spans="2:12" ht="19.2" x14ac:dyDescent="0.45">
      <c r="B129" s="571"/>
      <c r="C129" s="572"/>
      <c r="D129" s="434"/>
      <c r="E129" s="298" t="s">
        <v>438</v>
      </c>
      <c r="F129" s="548" t="s">
        <v>439</v>
      </c>
      <c r="G129" s="549"/>
      <c r="H129" s="304">
        <f>H128*L128</f>
        <v>0</v>
      </c>
      <c r="I129" s="19" t="s">
        <v>440</v>
      </c>
      <c r="K129" s="479"/>
      <c r="L129" s="581"/>
    </row>
    <row r="130" spans="2:12" ht="39.75" customHeight="1" x14ac:dyDescent="0.45">
      <c r="B130" s="571"/>
      <c r="C130" s="572"/>
      <c r="D130" s="442" t="s">
        <v>441</v>
      </c>
      <c r="E130" s="286" t="s">
        <v>442</v>
      </c>
      <c r="F130" s="457" t="s">
        <v>443</v>
      </c>
      <c r="G130" s="549"/>
      <c r="H130" s="304" t="e">
        <f>H112*L130</f>
        <v>#VALUE!</v>
      </c>
      <c r="I130" s="302" t="s">
        <v>444</v>
      </c>
      <c r="K130" s="87" t="s">
        <v>445</v>
      </c>
      <c r="L130" s="308" t="str">
        <f>G40</f>
        <v/>
      </c>
    </row>
    <row r="131" spans="2:12" ht="38.4" x14ac:dyDescent="0.45">
      <c r="B131" s="571"/>
      <c r="C131" s="572"/>
      <c r="D131" s="443" t="s">
        <v>446</v>
      </c>
      <c r="E131" s="300" t="s">
        <v>447</v>
      </c>
      <c r="F131" s="457" t="s">
        <v>448</v>
      </c>
      <c r="G131" s="549"/>
      <c r="H131" s="304">
        <f>D35*L131*10^-3</f>
        <v>0</v>
      </c>
      <c r="I131" s="19"/>
      <c r="K131" s="297" t="s">
        <v>449</v>
      </c>
      <c r="L131" s="392">
        <v>0.64500000000000002</v>
      </c>
    </row>
    <row r="132" spans="2:12" ht="37.200000000000003" x14ac:dyDescent="0.45">
      <c r="B132" s="571"/>
      <c r="C132" s="572"/>
      <c r="D132" s="444"/>
      <c r="E132" s="301" t="s">
        <v>442</v>
      </c>
      <c r="F132" s="548" t="s">
        <v>450</v>
      </c>
      <c r="G132" s="549"/>
      <c r="H132" s="304">
        <f>H131*L132</f>
        <v>0</v>
      </c>
      <c r="I132" s="302" t="s">
        <v>451</v>
      </c>
      <c r="K132" s="87" t="s">
        <v>452</v>
      </c>
      <c r="L132" s="392">
        <v>298</v>
      </c>
    </row>
    <row r="133" spans="2:12" ht="36" x14ac:dyDescent="0.45">
      <c r="B133" s="571"/>
      <c r="C133" s="572"/>
      <c r="D133" s="250" t="s">
        <v>453</v>
      </c>
      <c r="E133" s="249" t="s">
        <v>442</v>
      </c>
      <c r="F133" s="457" t="s">
        <v>454</v>
      </c>
      <c r="G133" s="458"/>
      <c r="H133" s="306">
        <f>D35*(1-D32/100)*0.005*L133+D35*0.661/100*L134</f>
        <v>0</v>
      </c>
      <c r="I133" s="446" t="s">
        <v>455</v>
      </c>
      <c r="K133" s="87" t="s">
        <v>456</v>
      </c>
      <c r="L133" s="392">
        <v>6.5</v>
      </c>
    </row>
    <row r="134" spans="2:12" ht="18.75" customHeight="1" x14ac:dyDescent="0.45">
      <c r="B134" s="571"/>
      <c r="C134" s="572"/>
      <c r="D134" s="430" t="s">
        <v>415</v>
      </c>
      <c r="E134" s="432" t="s">
        <v>442</v>
      </c>
      <c r="F134" s="577" t="s">
        <v>42</v>
      </c>
      <c r="G134" s="578"/>
      <c r="H134" s="307" t="e">
        <f>H129+H130+H132+H133</f>
        <v>#VALUE!</v>
      </c>
      <c r="I134" s="431" t="s">
        <v>458</v>
      </c>
      <c r="K134" s="459" t="s">
        <v>457</v>
      </c>
      <c r="L134" s="551">
        <v>0.93799999999999994</v>
      </c>
    </row>
    <row r="135" spans="2:12" ht="19.5" customHeight="1" x14ac:dyDescent="0.45">
      <c r="B135" s="573" t="s">
        <v>326</v>
      </c>
      <c r="C135" s="574"/>
      <c r="D135" s="279" t="s">
        <v>434</v>
      </c>
      <c r="E135" s="278" t="s">
        <v>402</v>
      </c>
      <c r="F135" s="548" t="s">
        <v>459</v>
      </c>
      <c r="G135" s="549"/>
      <c r="H135" s="304">
        <f>H116+H117+H118</f>
        <v>172.44</v>
      </c>
      <c r="I135" s="19" t="s">
        <v>460</v>
      </c>
      <c r="K135" s="461"/>
      <c r="L135" s="552"/>
    </row>
    <row r="136" spans="2:12" ht="19.5" customHeight="1" x14ac:dyDescent="0.45">
      <c r="B136" s="575"/>
      <c r="C136" s="576"/>
      <c r="D136" s="266"/>
      <c r="E136" s="298" t="s">
        <v>438</v>
      </c>
      <c r="F136" s="548" t="s">
        <v>439</v>
      </c>
      <c r="G136" s="549"/>
      <c r="H136" s="304">
        <f>H135*L128</f>
        <v>43.11</v>
      </c>
      <c r="I136" s="19" t="s">
        <v>461</v>
      </c>
    </row>
    <row r="137" spans="2:12" ht="19.5" customHeight="1" x14ac:dyDescent="0.45">
      <c r="B137" s="575"/>
      <c r="C137" s="576"/>
      <c r="D137" s="299" t="s">
        <v>441</v>
      </c>
      <c r="E137" s="286" t="s">
        <v>442</v>
      </c>
      <c r="F137" s="457" t="s">
        <v>463</v>
      </c>
      <c r="G137" s="549"/>
      <c r="H137" s="304">
        <f>H119*L137</f>
        <v>3.8996900000000001</v>
      </c>
      <c r="I137" s="19" t="s">
        <v>464</v>
      </c>
      <c r="K137" s="479" t="s">
        <v>462</v>
      </c>
      <c r="L137" s="553">
        <v>2.71</v>
      </c>
    </row>
    <row r="138" spans="2:12" ht="38.4" x14ac:dyDescent="0.45">
      <c r="B138" s="575"/>
      <c r="C138" s="576"/>
      <c r="D138" s="285" t="s">
        <v>446</v>
      </c>
      <c r="E138" s="300" t="s">
        <v>447</v>
      </c>
      <c r="F138" s="457" t="s">
        <v>448</v>
      </c>
      <c r="G138" s="549"/>
      <c r="H138" s="304">
        <f>D35*L139*10^-3</f>
        <v>0</v>
      </c>
      <c r="I138" s="19"/>
      <c r="K138" s="479"/>
      <c r="L138" s="553"/>
    </row>
    <row r="139" spans="2:12" ht="37.200000000000003" x14ac:dyDescent="0.45">
      <c r="B139" s="575"/>
      <c r="C139" s="576"/>
      <c r="D139" s="283"/>
      <c r="E139" s="301" t="s">
        <v>442</v>
      </c>
      <c r="F139" s="548" t="s">
        <v>450</v>
      </c>
      <c r="G139" s="549"/>
      <c r="H139" s="304">
        <f>H138*L132</f>
        <v>0</v>
      </c>
      <c r="I139" s="19" t="s">
        <v>466</v>
      </c>
      <c r="K139" s="297" t="s">
        <v>465</v>
      </c>
      <c r="L139" s="392">
        <v>0.21299999999999999</v>
      </c>
    </row>
    <row r="140" spans="2:12" ht="19.5" customHeight="1" x14ac:dyDescent="0.45">
      <c r="B140" s="575"/>
      <c r="C140" s="576"/>
      <c r="D140" s="285" t="s">
        <v>453</v>
      </c>
      <c r="E140" s="554" t="s">
        <v>442</v>
      </c>
      <c r="F140" s="557" t="s">
        <v>467</v>
      </c>
      <c r="G140" s="558"/>
      <c r="H140" s="563">
        <f>H75*L133+H77*L141+H86*L143</f>
        <v>0</v>
      </c>
      <c r="I140" s="566" t="s">
        <v>468</v>
      </c>
      <c r="K140" s="147"/>
      <c r="L140" s="130"/>
    </row>
    <row r="141" spans="2:12" ht="19.5" customHeight="1" x14ac:dyDescent="0.45">
      <c r="B141" s="575"/>
      <c r="C141" s="576"/>
      <c r="D141" s="283"/>
      <c r="E141" s="555"/>
      <c r="F141" s="559"/>
      <c r="G141" s="560"/>
      <c r="H141" s="564"/>
      <c r="I141" s="567"/>
      <c r="K141" s="459" t="s">
        <v>469</v>
      </c>
      <c r="L141" s="551">
        <v>3.0800000000000001E-2</v>
      </c>
    </row>
    <row r="142" spans="2:12" ht="19.5" customHeight="1" x14ac:dyDescent="0.45">
      <c r="B142" s="575"/>
      <c r="C142" s="576"/>
      <c r="D142" s="284"/>
      <c r="E142" s="556"/>
      <c r="F142" s="561"/>
      <c r="G142" s="562"/>
      <c r="H142" s="565"/>
      <c r="I142" s="568"/>
      <c r="K142" s="461"/>
      <c r="L142" s="552"/>
    </row>
    <row r="143" spans="2:12" ht="19.5" customHeight="1" x14ac:dyDescent="0.45">
      <c r="B143" s="575"/>
      <c r="C143" s="576"/>
      <c r="D143" s="247" t="s">
        <v>415</v>
      </c>
      <c r="E143" s="301" t="s">
        <v>442</v>
      </c>
      <c r="F143" s="497" t="s">
        <v>42</v>
      </c>
      <c r="G143" s="499"/>
      <c r="H143" s="304">
        <f>H136+H137+H139+H140</f>
        <v>47.009689999999999</v>
      </c>
      <c r="I143" s="303" t="s">
        <v>471</v>
      </c>
      <c r="K143" s="479" t="s">
        <v>470</v>
      </c>
      <c r="L143" s="553">
        <f>0.938*0.48</f>
        <v>0.45023999999999997</v>
      </c>
    </row>
    <row r="144" spans="2:12" ht="19.5" customHeight="1" x14ac:dyDescent="0.45">
      <c r="B144" s="577"/>
      <c r="C144" s="578"/>
      <c r="D144" s="19" t="s">
        <v>472</v>
      </c>
      <c r="E144" s="87" t="s">
        <v>438</v>
      </c>
      <c r="F144" s="548" t="s">
        <v>473</v>
      </c>
      <c r="G144" s="549"/>
      <c r="H144" s="307">
        <f>H123*L128</f>
        <v>-68.775000000000006</v>
      </c>
      <c r="I144" s="303" t="s">
        <v>474</v>
      </c>
      <c r="K144" s="479"/>
      <c r="L144" s="553"/>
    </row>
    <row r="145" spans="2:9" ht="39" customHeight="1" x14ac:dyDescent="0.45">
      <c r="B145" s="579" t="s">
        <v>432</v>
      </c>
      <c r="C145" s="580"/>
      <c r="D145" s="580"/>
      <c r="E145" s="26" t="s">
        <v>395</v>
      </c>
      <c r="F145" s="548" t="s">
        <v>42</v>
      </c>
      <c r="G145" s="549"/>
      <c r="H145" s="305" t="e">
        <f>1-(H143-H144)/H134</f>
        <v>#VALUE!</v>
      </c>
      <c r="I145" s="250" t="s">
        <v>475</v>
      </c>
    </row>
    <row r="146" spans="2:9" ht="39" customHeight="1" x14ac:dyDescent="0.45">
      <c r="B146" s="445"/>
      <c r="C146" s="445"/>
    </row>
    <row r="149" spans="2:9" x14ac:dyDescent="0.45">
      <c r="B149" s="538" t="s">
        <v>93</v>
      </c>
      <c r="C149" s="538"/>
      <c r="D149" s="312" t="e">
        <f>H134-H143-H144</f>
        <v>#VALUE!</v>
      </c>
      <c r="E149" s="311" t="s">
        <v>21</v>
      </c>
    </row>
  </sheetData>
  <mergeCells count="163">
    <mergeCell ref="B34:C34"/>
    <mergeCell ref="B35:C35"/>
    <mergeCell ref="Q35:R35"/>
    <mergeCell ref="S35:T35"/>
    <mergeCell ref="B36:C36"/>
    <mergeCell ref="B37:C37"/>
    <mergeCell ref="B29:D29"/>
    <mergeCell ref="F29:G29"/>
    <mergeCell ref="B30:C30"/>
    <mergeCell ref="B31:C31"/>
    <mergeCell ref="B32:C32"/>
    <mergeCell ref="B33:C33"/>
    <mergeCell ref="B38:C38"/>
    <mergeCell ref="B39:C39"/>
    <mergeCell ref="B40:C40"/>
    <mergeCell ref="F54:G54"/>
    <mergeCell ref="R54:R55"/>
    <mergeCell ref="B55:B71"/>
    <mergeCell ref="F55:G55"/>
    <mergeCell ref="O55:O63"/>
    <mergeCell ref="F56:G56"/>
    <mergeCell ref="F57:G57"/>
    <mergeCell ref="C64:D64"/>
    <mergeCell ref="F64:G64"/>
    <mergeCell ref="C65:D66"/>
    <mergeCell ref="E65:E66"/>
    <mergeCell ref="F65:G66"/>
    <mergeCell ref="H65:H66"/>
    <mergeCell ref="F58:G58"/>
    <mergeCell ref="F59:G59"/>
    <mergeCell ref="F60:G60"/>
    <mergeCell ref="F61:G61"/>
    <mergeCell ref="F62:G62"/>
    <mergeCell ref="F63:G63"/>
    <mergeCell ref="C69:D69"/>
    <mergeCell ref="F69:G69"/>
    <mergeCell ref="C70:D71"/>
    <mergeCell ref="E70:E71"/>
    <mergeCell ref="F70:G71"/>
    <mergeCell ref="H70:H71"/>
    <mergeCell ref="I65:I66"/>
    <mergeCell ref="K66:L66"/>
    <mergeCell ref="C67:D68"/>
    <mergeCell ref="E67:E68"/>
    <mergeCell ref="F67:G68"/>
    <mergeCell ref="H67:H68"/>
    <mergeCell ref="I67:I68"/>
    <mergeCell ref="F80:G80"/>
    <mergeCell ref="F81:G81"/>
    <mergeCell ref="F82:G82"/>
    <mergeCell ref="F83:G83"/>
    <mergeCell ref="F84:G84"/>
    <mergeCell ref="F85:G85"/>
    <mergeCell ref="I70:I71"/>
    <mergeCell ref="B72:B105"/>
    <mergeCell ref="F72:G72"/>
    <mergeCell ref="F73:G73"/>
    <mergeCell ref="F74:G74"/>
    <mergeCell ref="F75:G75"/>
    <mergeCell ref="F76:G76"/>
    <mergeCell ref="F77:G77"/>
    <mergeCell ref="F78:G78"/>
    <mergeCell ref="F79:G79"/>
    <mergeCell ref="F92:G92"/>
    <mergeCell ref="F93:G93"/>
    <mergeCell ref="F94:G94"/>
    <mergeCell ref="C95:D95"/>
    <mergeCell ref="F95:G95"/>
    <mergeCell ref="C96:D97"/>
    <mergeCell ref="E96:E97"/>
    <mergeCell ref="F96:G97"/>
    <mergeCell ref="F86:G86"/>
    <mergeCell ref="F87:G87"/>
    <mergeCell ref="F88:G88"/>
    <mergeCell ref="F89:G89"/>
    <mergeCell ref="F90:G90"/>
    <mergeCell ref="F91:G91"/>
    <mergeCell ref="I101:I102"/>
    <mergeCell ref="H96:H97"/>
    <mergeCell ref="I96:I97"/>
    <mergeCell ref="K97:L97"/>
    <mergeCell ref="D98:D99"/>
    <mergeCell ref="E98:E99"/>
    <mergeCell ref="F98:G99"/>
    <mergeCell ref="H98:H99"/>
    <mergeCell ref="I98:I99"/>
    <mergeCell ref="C103:D103"/>
    <mergeCell ref="F103:G103"/>
    <mergeCell ref="C104:D105"/>
    <mergeCell ref="E104:E105"/>
    <mergeCell ref="F104:G105"/>
    <mergeCell ref="H104:H105"/>
    <mergeCell ref="F100:G100"/>
    <mergeCell ref="C101:D102"/>
    <mergeCell ref="E101:E102"/>
    <mergeCell ref="F101:G102"/>
    <mergeCell ref="H101:H102"/>
    <mergeCell ref="I104:I105"/>
    <mergeCell ref="B106:D106"/>
    <mergeCell ref="F106:G106"/>
    <mergeCell ref="B109:D109"/>
    <mergeCell ref="F109:G109"/>
    <mergeCell ref="B110:C115"/>
    <mergeCell ref="F110:G110"/>
    <mergeCell ref="F111:G111"/>
    <mergeCell ref="D112:D114"/>
    <mergeCell ref="F112:G113"/>
    <mergeCell ref="H119:H120"/>
    <mergeCell ref="I119:I120"/>
    <mergeCell ref="K119:K120"/>
    <mergeCell ref="L119:L120"/>
    <mergeCell ref="H112:H113"/>
    <mergeCell ref="I112:I113"/>
    <mergeCell ref="L112:L113"/>
    <mergeCell ref="F114:G114"/>
    <mergeCell ref="F115:G115"/>
    <mergeCell ref="F116:G116"/>
    <mergeCell ref="F117:G117"/>
    <mergeCell ref="F118:G118"/>
    <mergeCell ref="F121:G121"/>
    <mergeCell ref="F122:G122"/>
    <mergeCell ref="F123:G123"/>
    <mergeCell ref="B124:D124"/>
    <mergeCell ref="F124:G124"/>
    <mergeCell ref="B127:D127"/>
    <mergeCell ref="F127:G127"/>
    <mergeCell ref="E119:E120"/>
    <mergeCell ref="F119:G120"/>
    <mergeCell ref="B116:C123"/>
    <mergeCell ref="D119:D121"/>
    <mergeCell ref="B128:C134"/>
    <mergeCell ref="B135:C144"/>
    <mergeCell ref="F135:G135"/>
    <mergeCell ref="F136:G136"/>
    <mergeCell ref="K137:K138"/>
    <mergeCell ref="L137:L138"/>
    <mergeCell ref="F137:G137"/>
    <mergeCell ref="F138:G138"/>
    <mergeCell ref="B145:D145"/>
    <mergeCell ref="F145:G145"/>
    <mergeCell ref="F128:G128"/>
    <mergeCell ref="K128:K129"/>
    <mergeCell ref="L128:L129"/>
    <mergeCell ref="F129:G129"/>
    <mergeCell ref="F130:G130"/>
    <mergeCell ref="F131:G131"/>
    <mergeCell ref="F132:G132"/>
    <mergeCell ref="F133:G133"/>
    <mergeCell ref="K134:K135"/>
    <mergeCell ref="L134:L135"/>
    <mergeCell ref="F134:G134"/>
    <mergeCell ref="B149:C149"/>
    <mergeCell ref="L141:L142"/>
    <mergeCell ref="K143:K144"/>
    <mergeCell ref="L143:L144"/>
    <mergeCell ref="F143:G143"/>
    <mergeCell ref="F144:G144"/>
    <mergeCell ref="F139:G139"/>
    <mergeCell ref="E140:E142"/>
    <mergeCell ref="F140:G142"/>
    <mergeCell ref="H140:H142"/>
    <mergeCell ref="I140:I142"/>
    <mergeCell ref="K141:K142"/>
  </mergeCells>
  <phoneticPr fontId="2"/>
  <dataValidations disablePrompts="1" count="1">
    <dataValidation type="list" allowBlank="1" showInputMessage="1" showErrorMessage="1" sqref="D39" xr:uid="{EA78C5C0-43FD-4EF6-A83B-39D5BCB3DA34}">
      <formula1>"都市ガス,消化ガス,,灯油,A重油"</formula1>
    </dataValidation>
  </dataValidations>
  <hyperlinks>
    <hyperlink ref="K2" location="汚泥処理対策シート!A1" display="クリックで対策シートに戻る" xr:uid="{63835FBA-2DED-4D5F-AFCA-0D30F50CE8F6}"/>
  </hyperlinks>
  <pageMargins left="0.70866141732283472" right="0.70866141732283472" top="0.74803149606299213" bottom="0.74803149606299213" header="0.31496062992125984" footer="0.31496062992125984"/>
  <pageSetup paperSize="8" scale="45"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E6250B-9B71-4778-AD4C-4CA11619DB62}">
  <sheetPr>
    <tabColor theme="5" tint="-0.499984740745262"/>
  </sheetPr>
  <dimension ref="B2:U172"/>
  <sheetViews>
    <sheetView zoomScale="80" zoomScaleNormal="80" zoomScaleSheetLayoutView="85" workbookViewId="0"/>
  </sheetViews>
  <sheetFormatPr defaultColWidth="9" defaultRowHeight="18" x14ac:dyDescent="0.45"/>
  <cols>
    <col min="1" max="1" width="1.59765625" style="148" customWidth="1"/>
    <col min="2" max="2" width="11" style="148" customWidth="1"/>
    <col min="3" max="3" width="26" style="148" customWidth="1"/>
    <col min="4" max="4" width="34.59765625" style="148" customWidth="1"/>
    <col min="5" max="5" width="12.3984375" style="148" customWidth="1"/>
    <col min="6" max="6" width="27.59765625" style="148" customWidth="1"/>
    <col min="7" max="7" width="24.59765625" style="148" customWidth="1"/>
    <col min="8" max="8" width="22.5" style="148" bestFit="1" customWidth="1"/>
    <col min="9" max="9" width="37.69921875" style="148" bestFit="1" customWidth="1"/>
    <col min="10" max="10" width="3.59765625" style="148" customWidth="1"/>
    <col min="11" max="11" width="13" style="148" bestFit="1" customWidth="1"/>
    <col min="12" max="12" width="12.19921875" style="148" bestFit="1" customWidth="1"/>
    <col min="13" max="15" width="1.59765625" style="148" customWidth="1"/>
    <col min="16" max="17" width="19.19921875" style="148" hidden="1" customWidth="1"/>
    <col min="18" max="18" width="8.59765625" style="148" hidden="1" customWidth="1"/>
    <col min="19" max="19" width="21.3984375" style="148" hidden="1" customWidth="1"/>
    <col min="20" max="20" width="11.59765625" style="148" hidden="1" customWidth="1"/>
    <col min="21" max="16384" width="9" style="148"/>
  </cols>
  <sheetData>
    <row r="2" spans="2:9" customFormat="1" ht="22.2" x14ac:dyDescent="0.45">
      <c r="B2" s="28" t="s">
        <v>1486</v>
      </c>
      <c r="I2" s="242" t="s">
        <v>1151</v>
      </c>
    </row>
    <row r="3" spans="2:9" customFormat="1" x14ac:dyDescent="0.45">
      <c r="B3" s="32" t="s">
        <v>94</v>
      </c>
      <c r="C3" s="33"/>
      <c r="D3" s="33"/>
      <c r="E3" s="33"/>
      <c r="G3" s="18"/>
      <c r="H3" t="s">
        <v>79</v>
      </c>
    </row>
    <row r="4" spans="2:9" customFormat="1" x14ac:dyDescent="0.45">
      <c r="B4" s="309" t="s">
        <v>97</v>
      </c>
      <c r="C4" s="310"/>
      <c r="D4" s="310"/>
      <c r="E4" s="310"/>
      <c r="G4" s="7"/>
      <c r="H4" t="s">
        <v>80</v>
      </c>
    </row>
    <row r="5" spans="2:9" customFormat="1" x14ac:dyDescent="0.45">
      <c r="G5" s="378"/>
      <c r="H5" t="s">
        <v>1401</v>
      </c>
    </row>
    <row r="6" spans="2:9" customFormat="1" x14ac:dyDescent="0.45">
      <c r="G6" s="11"/>
      <c r="H6" t="s">
        <v>81</v>
      </c>
    </row>
    <row r="7" spans="2:9" customFormat="1" x14ac:dyDescent="0.45">
      <c r="B7" s="31" t="s">
        <v>758</v>
      </c>
      <c r="C7" s="4"/>
      <c r="G7" s="157"/>
      <c r="H7" t="s">
        <v>510</v>
      </c>
    </row>
    <row r="8" spans="2:9" x14ac:dyDescent="0.45">
      <c r="B8" s="31" t="s">
        <v>759</v>
      </c>
      <c r="H8" s="31" t="s">
        <v>760</v>
      </c>
      <c r="I8" s="31"/>
    </row>
    <row r="9" spans="2:9" x14ac:dyDescent="0.45">
      <c r="B9" s="31" t="s">
        <v>1433</v>
      </c>
      <c r="H9" s="31"/>
      <c r="I9" s="31"/>
    </row>
    <row r="10" spans="2:9" x14ac:dyDescent="0.45">
      <c r="B10" s="31"/>
      <c r="I10" s="31"/>
    </row>
    <row r="11" spans="2:9" x14ac:dyDescent="0.45">
      <c r="B11" s="31" t="s">
        <v>513</v>
      </c>
      <c r="I11" s="31"/>
    </row>
    <row r="12" spans="2:9" x14ac:dyDescent="0.45">
      <c r="B12" s="31"/>
      <c r="I12" s="31"/>
    </row>
    <row r="13" spans="2:9" x14ac:dyDescent="0.45">
      <c r="B13" s="31"/>
      <c r="I13" s="31"/>
    </row>
    <row r="14" spans="2:9" x14ac:dyDescent="0.45">
      <c r="B14" s="31"/>
      <c r="I14" s="31"/>
    </row>
    <row r="15" spans="2:9" x14ac:dyDescent="0.45">
      <c r="B15" s="31"/>
      <c r="I15" s="31"/>
    </row>
    <row r="16" spans="2:9" x14ac:dyDescent="0.45">
      <c r="B16" s="31"/>
      <c r="I16" s="31"/>
    </row>
    <row r="17" spans="2:9" x14ac:dyDescent="0.45">
      <c r="B17" s="31"/>
      <c r="I17" s="31"/>
    </row>
    <row r="18" spans="2:9" x14ac:dyDescent="0.45">
      <c r="B18" s="31"/>
      <c r="I18" s="31"/>
    </row>
    <row r="19" spans="2:9" x14ac:dyDescent="0.45">
      <c r="B19" s="31"/>
      <c r="I19" s="31"/>
    </row>
    <row r="20" spans="2:9" x14ac:dyDescent="0.45">
      <c r="B20" s="31"/>
      <c r="I20" s="31"/>
    </row>
    <row r="21" spans="2:9" x14ac:dyDescent="0.45">
      <c r="B21" s="31"/>
      <c r="I21" s="31"/>
    </row>
    <row r="22" spans="2:9" x14ac:dyDescent="0.45">
      <c r="B22" s="31"/>
      <c r="I22" s="31"/>
    </row>
    <row r="23" spans="2:9" x14ac:dyDescent="0.45">
      <c r="B23" s="31"/>
      <c r="I23" s="31"/>
    </row>
    <row r="24" spans="2:9" x14ac:dyDescent="0.45">
      <c r="B24" s="31"/>
      <c r="I24" s="31"/>
    </row>
    <row r="25" spans="2:9" x14ac:dyDescent="0.45">
      <c r="B25" s="31"/>
      <c r="I25" s="31"/>
    </row>
    <row r="26" spans="2:9" x14ac:dyDescent="0.45">
      <c r="B26" s="31"/>
      <c r="I26" s="31"/>
    </row>
    <row r="27" spans="2:9" x14ac:dyDescent="0.45">
      <c r="B27" s="31"/>
      <c r="I27" s="31"/>
    </row>
    <row r="29" spans="2:9" ht="32.4" x14ac:dyDescent="0.45">
      <c r="B29" s="88" t="s">
        <v>230</v>
      </c>
      <c r="D29" s="89"/>
    </row>
    <row r="30" spans="2:9" ht="18.75" customHeight="1" x14ac:dyDescent="0.45">
      <c r="B30" s="148" t="s">
        <v>517</v>
      </c>
      <c r="H30" s="96"/>
    </row>
    <row r="31" spans="2:9" ht="18.75" customHeight="1" x14ac:dyDescent="0.45">
      <c r="B31" s="734" t="s">
        <v>518</v>
      </c>
      <c r="C31" s="734"/>
      <c r="D31" s="18"/>
      <c r="F31" s="197" t="s">
        <v>519</v>
      </c>
      <c r="G31" s="18"/>
      <c r="H31" s="95"/>
    </row>
    <row r="32" spans="2:9" ht="18.75" customHeight="1" x14ac:dyDescent="0.45">
      <c r="B32" s="734" t="s">
        <v>520</v>
      </c>
      <c r="C32" s="734"/>
      <c r="D32" s="192"/>
      <c r="F32" s="197" t="s">
        <v>521</v>
      </c>
      <c r="G32" s="193">
        <f>G31/365</f>
        <v>0</v>
      </c>
      <c r="H32" s="95"/>
      <c r="I32" s="96"/>
    </row>
    <row r="33" spans="2:21" ht="18.75" customHeight="1" x14ac:dyDescent="0.45">
      <c r="B33" s="733" t="s">
        <v>522</v>
      </c>
      <c r="C33" s="733"/>
      <c r="D33" s="194">
        <f>D31*(1-D32)</f>
        <v>0</v>
      </c>
      <c r="F33" s="421" t="s">
        <v>523</v>
      </c>
      <c r="G33" s="422"/>
      <c r="H33" s="95"/>
      <c r="I33" s="96"/>
    </row>
    <row r="34" spans="2:21" ht="18.75" customHeight="1" x14ac:dyDescent="0.45">
      <c r="B34" s="745" t="s">
        <v>524</v>
      </c>
      <c r="C34" s="745"/>
      <c r="D34" s="447" t="s">
        <v>525</v>
      </c>
      <c r="F34" s="426"/>
      <c r="G34" s="427"/>
      <c r="H34" s="96"/>
      <c r="I34" s="96"/>
    </row>
    <row r="35" spans="2:21" ht="18.75" customHeight="1" x14ac:dyDescent="0.45">
      <c r="B35" s="733" t="s">
        <v>528</v>
      </c>
      <c r="C35" s="733"/>
      <c r="D35" s="195">
        <v>2.1000000000000001E-2</v>
      </c>
      <c r="F35" s="99"/>
      <c r="G35" s="423"/>
      <c r="H35" s="96"/>
      <c r="I35" s="96"/>
      <c r="P35" s="16"/>
      <c r="Q35" s="513" t="s">
        <v>526</v>
      </c>
      <c r="R35" s="515"/>
      <c r="S35" s="513" t="s">
        <v>527</v>
      </c>
      <c r="T35" s="515"/>
    </row>
    <row r="36" spans="2:21" ht="18.75" customHeight="1" x14ac:dyDescent="0.45">
      <c r="B36" s="734" t="s">
        <v>529</v>
      </c>
      <c r="C36" s="734"/>
      <c r="D36" s="194">
        <f>D33*(1+D35)</f>
        <v>0</v>
      </c>
      <c r="F36" s="424"/>
      <c r="G36" s="423"/>
      <c r="H36" s="98"/>
      <c r="I36" s="98"/>
      <c r="P36" s="16" t="s">
        <v>244</v>
      </c>
      <c r="Q36" s="16">
        <v>44.8</v>
      </c>
      <c r="R36" s="16" t="s">
        <v>245</v>
      </c>
      <c r="S36" s="94">
        <v>2.23</v>
      </c>
      <c r="T36" s="94" t="s">
        <v>246</v>
      </c>
      <c r="U36" s="160"/>
    </row>
    <row r="37" spans="2:21" ht="18.75" customHeight="1" x14ac:dyDescent="0.45">
      <c r="B37" s="734" t="s">
        <v>530</v>
      </c>
      <c r="C37" s="734"/>
      <c r="D37" s="196">
        <v>0.69</v>
      </c>
      <c r="F37" s="99"/>
      <c r="G37" s="423"/>
      <c r="H37" s="96"/>
      <c r="I37" s="96"/>
      <c r="P37" s="16" t="s">
        <v>250</v>
      </c>
      <c r="Q37" s="16">
        <v>0</v>
      </c>
      <c r="R37" s="16" t="s">
        <v>245</v>
      </c>
      <c r="S37" s="142">
        <v>0</v>
      </c>
      <c r="T37" s="142" t="s">
        <v>251</v>
      </c>
    </row>
    <row r="38" spans="2:21" ht="18.75" customHeight="1" x14ac:dyDescent="0.45">
      <c r="B38" s="735" t="s">
        <v>531</v>
      </c>
      <c r="C38" s="736"/>
      <c r="D38" s="194">
        <f>D36/(1-D37)</f>
        <v>0</v>
      </c>
      <c r="F38" s="424"/>
      <c r="G38" s="423"/>
      <c r="H38" s="96"/>
      <c r="I38" s="96"/>
      <c r="P38" s="16"/>
      <c r="Q38" s="16"/>
      <c r="R38" s="16"/>
      <c r="S38" s="142"/>
      <c r="T38" s="142"/>
    </row>
    <row r="39" spans="2:21" ht="18.75" customHeight="1" x14ac:dyDescent="0.45">
      <c r="B39" s="161" t="s">
        <v>532</v>
      </c>
      <c r="C39" s="161"/>
      <c r="D39" s="162"/>
      <c r="F39" s="99"/>
      <c r="G39" s="425"/>
    </row>
    <row r="40" spans="2:21" ht="18.75" customHeight="1" x14ac:dyDescent="0.45"/>
    <row r="41" spans="2:21" ht="18.75" customHeight="1" x14ac:dyDescent="0.45"/>
    <row r="42" spans="2:21" ht="18.75" customHeight="1" x14ac:dyDescent="0.45">
      <c r="B42" s="102"/>
      <c r="C42" s="102"/>
      <c r="D42" s="163"/>
    </row>
    <row r="43" spans="2:21" ht="16.5" hidden="1" customHeight="1" x14ac:dyDescent="0.45">
      <c r="B43" s="746" t="s">
        <v>533</v>
      </c>
      <c r="C43" s="747"/>
      <c r="D43" s="164" t="s">
        <v>534</v>
      </c>
      <c r="O43" s="88"/>
    </row>
    <row r="44" spans="2:21" ht="16.5" hidden="1" customHeight="1" x14ac:dyDescent="0.45">
      <c r="B44" s="748"/>
      <c r="C44" s="748"/>
      <c r="D44" s="164" t="s">
        <v>535</v>
      </c>
      <c r="O44" s="88"/>
    </row>
    <row r="45" spans="2:21" hidden="1" x14ac:dyDescent="0.45">
      <c r="B45" s="16" t="s">
        <v>276</v>
      </c>
      <c r="C45" s="16" t="s">
        <v>277</v>
      </c>
      <c r="D45" s="16" t="s">
        <v>27</v>
      </c>
      <c r="E45" s="16" t="s">
        <v>29</v>
      </c>
      <c r="F45" s="513" t="s">
        <v>278</v>
      </c>
      <c r="G45" s="515"/>
      <c r="H45" s="16" t="s">
        <v>536</v>
      </c>
      <c r="I45" s="16" t="s">
        <v>280</v>
      </c>
    </row>
    <row r="46" spans="2:21" ht="54" hidden="1" x14ac:dyDescent="0.45">
      <c r="B46" s="624" t="s">
        <v>537</v>
      </c>
      <c r="C46" s="624" t="s">
        <v>281</v>
      </c>
      <c r="D46" s="10" t="s">
        <v>538</v>
      </c>
      <c r="E46" s="16" t="s">
        <v>539</v>
      </c>
      <c r="F46" s="513" t="s">
        <v>540</v>
      </c>
      <c r="G46" s="515"/>
      <c r="H46" s="16">
        <f>ROUND(0.227*(D33/0.01)^0.444*100,0)</f>
        <v>0</v>
      </c>
      <c r="I46" s="111" t="s">
        <v>541</v>
      </c>
    </row>
    <row r="47" spans="2:21" ht="72" hidden="1" x14ac:dyDescent="0.45">
      <c r="B47" s="720"/>
      <c r="C47" s="721"/>
      <c r="D47" s="10" t="s">
        <v>542</v>
      </c>
      <c r="E47" s="16" t="s">
        <v>539</v>
      </c>
      <c r="F47" s="513" t="s">
        <v>543</v>
      </c>
      <c r="G47" s="515"/>
      <c r="H47" s="16">
        <f>ROUND(0.434*(D33/0.01)^0.373*100,0)</f>
        <v>0</v>
      </c>
      <c r="I47" s="111" t="s">
        <v>544</v>
      </c>
    </row>
    <row r="48" spans="2:21" ht="18.75" hidden="1" customHeight="1" x14ac:dyDescent="0.45">
      <c r="B48" s="720"/>
      <c r="C48" s="624" t="s">
        <v>295</v>
      </c>
      <c r="D48" s="10" t="s">
        <v>538</v>
      </c>
      <c r="E48" s="16" t="s">
        <v>283</v>
      </c>
      <c r="F48" s="513" t="s">
        <v>545</v>
      </c>
      <c r="G48" s="515"/>
      <c r="H48" s="34">
        <f>2.426*D31^0.0094*100</f>
        <v>0</v>
      </c>
      <c r="I48" s="1" t="s">
        <v>546</v>
      </c>
      <c r="Q48" s="109"/>
    </row>
    <row r="49" spans="2:18" ht="19.5" hidden="1" customHeight="1" x14ac:dyDescent="0.45">
      <c r="B49" s="720"/>
      <c r="C49" s="646"/>
      <c r="D49" s="10" t="s">
        <v>542</v>
      </c>
      <c r="E49" s="16" t="s">
        <v>283</v>
      </c>
      <c r="F49" s="513" t="s">
        <v>547</v>
      </c>
      <c r="G49" s="515"/>
      <c r="H49" s="34">
        <f>1.888*D31^0.597*100</f>
        <v>0</v>
      </c>
      <c r="I49" s="1" t="s">
        <v>548</v>
      </c>
      <c r="O49" s="653"/>
      <c r="Q49" s="109"/>
      <c r="R49" s="651"/>
    </row>
    <row r="50" spans="2:18" ht="19.8" hidden="1" x14ac:dyDescent="0.45">
      <c r="B50" s="720"/>
      <c r="C50" s="625"/>
      <c r="D50" s="165" t="s">
        <v>549</v>
      </c>
      <c r="E50" s="16" t="s">
        <v>283</v>
      </c>
      <c r="F50" s="513" t="s">
        <v>550</v>
      </c>
      <c r="G50" s="515"/>
      <c r="H50" s="34">
        <f>0.726*D31^0.539*100</f>
        <v>0</v>
      </c>
      <c r="I50" s="2" t="s">
        <v>551</v>
      </c>
      <c r="O50" s="653"/>
      <c r="Q50" s="109"/>
      <c r="R50" s="651"/>
    </row>
    <row r="51" spans="2:18" ht="19.5" hidden="1" customHeight="1" x14ac:dyDescent="0.45">
      <c r="B51" s="720"/>
      <c r="C51" s="133"/>
      <c r="D51" s="134" t="s">
        <v>552</v>
      </c>
      <c r="E51" s="16" t="s">
        <v>283</v>
      </c>
      <c r="F51" s="513" t="s">
        <v>42</v>
      </c>
      <c r="G51" s="515"/>
      <c r="H51" s="34">
        <f>H46+H47+H48+H49+H50</f>
        <v>0</v>
      </c>
      <c r="I51" s="1" t="s">
        <v>553</v>
      </c>
      <c r="O51" s="653"/>
      <c r="Q51" s="109"/>
    </row>
    <row r="52" spans="2:18" ht="19.5" hidden="1" customHeight="1" x14ac:dyDescent="0.45">
      <c r="B52" s="720"/>
      <c r="C52" s="166"/>
      <c r="D52" s="631" t="s">
        <v>310</v>
      </c>
      <c r="E52" s="518" t="s">
        <v>292</v>
      </c>
      <c r="F52" s="636" t="s">
        <v>311</v>
      </c>
      <c r="G52" s="637"/>
      <c r="H52" s="737">
        <f>H46*L52*(1+L52)^L55/((1+L52)^L55-1)+H47*L52*(1+L52)^L56/((1+L52)^L56-1)+H48*L52*(1+L52)^L55/((1+L52)^L55-1)+H49*L52*(1+L52)^L58/((1+L52)^L58-1)+H50*L52*(1+L52)^L59/((1+L52)^L59-1)</f>
        <v>0</v>
      </c>
      <c r="I52" s="644" t="s">
        <v>554</v>
      </c>
      <c r="K52" s="16" t="s">
        <v>555</v>
      </c>
      <c r="L52" s="159">
        <v>2.3E-2</v>
      </c>
      <c r="O52" s="653"/>
      <c r="P52" s="653"/>
      <c r="Q52" s="116"/>
    </row>
    <row r="53" spans="2:18" ht="19.5" hidden="1" customHeight="1" x14ac:dyDescent="0.45">
      <c r="B53" s="720"/>
      <c r="C53" s="167"/>
      <c r="D53" s="633"/>
      <c r="E53" s="517"/>
      <c r="F53" s="638"/>
      <c r="G53" s="639"/>
      <c r="H53" s="738"/>
      <c r="I53" s="645"/>
      <c r="K53" s="168"/>
      <c r="Q53" s="116"/>
    </row>
    <row r="54" spans="2:18" ht="18.75" hidden="1" customHeight="1" x14ac:dyDescent="0.45">
      <c r="B54" s="720"/>
      <c r="C54" s="624" t="s">
        <v>281</v>
      </c>
      <c r="D54" s="644" t="s">
        <v>556</v>
      </c>
      <c r="E54" s="518" t="s">
        <v>292</v>
      </c>
      <c r="F54" s="618" t="s">
        <v>557</v>
      </c>
      <c r="G54" s="619"/>
      <c r="H54" s="722">
        <f>0.039*((D33/0.01)*G31*G33)^0.596</f>
        <v>0</v>
      </c>
      <c r="I54" s="644" t="s">
        <v>558</v>
      </c>
      <c r="K54" s="744" t="s">
        <v>559</v>
      </c>
      <c r="L54" s="615"/>
      <c r="Q54" s="116"/>
    </row>
    <row r="55" spans="2:18" ht="18.75" hidden="1" customHeight="1" x14ac:dyDescent="0.45">
      <c r="B55" s="720"/>
      <c r="C55" s="646"/>
      <c r="D55" s="739"/>
      <c r="E55" s="727"/>
      <c r="F55" s="728"/>
      <c r="G55" s="743"/>
      <c r="H55" s="730"/>
      <c r="I55" s="739"/>
      <c r="K55" s="16" t="s">
        <v>560</v>
      </c>
      <c r="L55" s="16">
        <v>50</v>
      </c>
      <c r="Q55" s="116"/>
    </row>
    <row r="56" spans="2:18" ht="18.75" hidden="1" customHeight="1" x14ac:dyDescent="0.45">
      <c r="B56" s="720"/>
      <c r="C56" s="625"/>
      <c r="D56" s="645"/>
      <c r="E56" s="517"/>
      <c r="F56" s="620"/>
      <c r="G56" s="621"/>
      <c r="H56" s="723"/>
      <c r="I56" s="645"/>
      <c r="K56" s="94" t="s">
        <v>561</v>
      </c>
      <c r="L56" s="142">
        <v>15</v>
      </c>
    </row>
    <row r="57" spans="2:18" ht="18.75" hidden="1" customHeight="1" x14ac:dyDescent="0.45">
      <c r="B57" s="720"/>
      <c r="C57" s="624" t="s">
        <v>295</v>
      </c>
      <c r="D57" s="724" t="s">
        <v>556</v>
      </c>
      <c r="E57" s="518" t="s">
        <v>292</v>
      </c>
      <c r="F57" s="618" t="s">
        <v>562</v>
      </c>
      <c r="G57" s="619"/>
      <c r="H57" s="722">
        <f>0.287*(D31*G31*G33)^0.673</f>
        <v>0</v>
      </c>
      <c r="I57" s="624" t="s">
        <v>563</v>
      </c>
      <c r="K57" s="16" t="s">
        <v>371</v>
      </c>
      <c r="L57" s="16">
        <v>15</v>
      </c>
      <c r="Q57" s="116"/>
    </row>
    <row r="58" spans="2:18" ht="18.75" hidden="1" customHeight="1" x14ac:dyDescent="0.45">
      <c r="B58" s="720"/>
      <c r="C58" s="720"/>
      <c r="D58" s="726"/>
      <c r="E58" s="517"/>
      <c r="F58" s="620"/>
      <c r="G58" s="621"/>
      <c r="H58" s="723"/>
      <c r="I58" s="625"/>
      <c r="K58" s="13" t="s">
        <v>295</v>
      </c>
      <c r="L58" s="13">
        <v>10</v>
      </c>
    </row>
    <row r="59" spans="2:18" ht="18.75" hidden="1" customHeight="1" x14ac:dyDescent="0.45">
      <c r="B59" s="720"/>
      <c r="C59" s="720"/>
      <c r="D59" s="724" t="s">
        <v>564</v>
      </c>
      <c r="E59" s="518" t="s">
        <v>292</v>
      </c>
      <c r="F59" s="618" t="s">
        <v>565</v>
      </c>
      <c r="G59" s="637"/>
      <c r="H59" s="722" t="e">
        <f>ROUND(D33*(1-#REF!)*G31*G33*G39/(1-0.3)*10^-6,0)</f>
        <v>#REF!</v>
      </c>
      <c r="I59" s="644" t="s">
        <v>566</v>
      </c>
      <c r="K59" s="16" t="s">
        <v>325</v>
      </c>
      <c r="L59" s="16">
        <v>15</v>
      </c>
    </row>
    <row r="60" spans="2:18" ht="18.75" hidden="1" customHeight="1" x14ac:dyDescent="0.45">
      <c r="B60" s="720"/>
      <c r="C60" s="720"/>
      <c r="D60" s="725"/>
      <c r="E60" s="727"/>
      <c r="F60" s="728"/>
      <c r="G60" s="729"/>
      <c r="H60" s="730"/>
      <c r="I60" s="739"/>
      <c r="K60" s="740" t="s">
        <v>567</v>
      </c>
      <c r="L60" s="741"/>
    </row>
    <row r="61" spans="2:18" ht="18.75" hidden="1" customHeight="1" x14ac:dyDescent="0.45">
      <c r="B61" s="720"/>
      <c r="C61" s="720"/>
      <c r="D61" s="726"/>
      <c r="E61" s="517"/>
      <c r="F61" s="638"/>
      <c r="G61" s="639"/>
      <c r="H61" s="517"/>
      <c r="I61" s="645"/>
      <c r="K61" s="742"/>
      <c r="L61" s="742"/>
    </row>
    <row r="62" spans="2:18" ht="18.75" hidden="1" customHeight="1" x14ac:dyDescent="0.45">
      <c r="B62" s="720"/>
      <c r="C62" s="721"/>
      <c r="D62" s="134" t="s">
        <v>568</v>
      </c>
      <c r="E62" s="16" t="s">
        <v>292</v>
      </c>
      <c r="F62" s="513" t="s">
        <v>42</v>
      </c>
      <c r="G62" s="515"/>
      <c r="H62" s="34" t="e">
        <f>H57+H59</f>
        <v>#REF!</v>
      </c>
      <c r="I62" s="111" t="s">
        <v>569</v>
      </c>
    </row>
    <row r="63" spans="2:18" ht="18.75" hidden="1" customHeight="1" x14ac:dyDescent="0.45">
      <c r="B63" s="720"/>
      <c r="C63" s="133"/>
      <c r="D63" s="134" t="s">
        <v>570</v>
      </c>
      <c r="E63" s="16" t="s">
        <v>292</v>
      </c>
      <c r="F63" s="513" t="s">
        <v>42</v>
      </c>
      <c r="G63" s="631"/>
      <c r="H63" s="169" t="e">
        <f>H54+H57+H59</f>
        <v>#REF!</v>
      </c>
      <c r="I63" s="170" t="s">
        <v>571</v>
      </c>
    </row>
    <row r="64" spans="2:18" ht="54" hidden="1" x14ac:dyDescent="0.45">
      <c r="B64" s="720"/>
      <c r="C64" s="133"/>
      <c r="D64" s="134" t="s">
        <v>572</v>
      </c>
      <c r="E64" s="16" t="s">
        <v>292</v>
      </c>
      <c r="F64" s="710" t="s">
        <v>573</v>
      </c>
      <c r="G64" s="711"/>
      <c r="H64" s="34">
        <f>H52*(0.15*0.4+0.04)</f>
        <v>0</v>
      </c>
      <c r="I64" s="111" t="s">
        <v>574</v>
      </c>
    </row>
    <row r="65" spans="2:17" ht="18.75" hidden="1" customHeight="1" x14ac:dyDescent="0.45">
      <c r="B65" s="721"/>
      <c r="C65" s="731" t="s">
        <v>323</v>
      </c>
      <c r="D65" s="749"/>
      <c r="E65" s="13" t="s">
        <v>292</v>
      </c>
      <c r="F65" s="630" t="s">
        <v>42</v>
      </c>
      <c r="G65" s="631"/>
      <c r="H65" s="171" t="e">
        <f>H52+H63+H64</f>
        <v>#REF!</v>
      </c>
      <c r="I65" s="143" t="s">
        <v>575</v>
      </c>
    </row>
    <row r="66" spans="2:17" ht="18.75" hidden="1" customHeight="1" x14ac:dyDescent="0.45">
      <c r="B66" s="624" t="s">
        <v>326</v>
      </c>
      <c r="C66" s="143" t="s">
        <v>281</v>
      </c>
      <c r="D66" s="10" t="s">
        <v>576</v>
      </c>
      <c r="E66" s="13" t="s">
        <v>292</v>
      </c>
      <c r="F66" s="634" t="s">
        <v>577</v>
      </c>
      <c r="G66" s="648"/>
      <c r="H66" s="172">
        <f>1.06*D33+14.11</f>
        <v>14.11</v>
      </c>
      <c r="I66" s="1" t="s">
        <v>578</v>
      </c>
    </row>
    <row r="67" spans="2:17" ht="18.75" hidden="1" customHeight="1" x14ac:dyDescent="0.45">
      <c r="B67" s="646"/>
      <c r="C67" s="624" t="s">
        <v>295</v>
      </c>
      <c r="D67" s="10" t="s">
        <v>576</v>
      </c>
      <c r="E67" s="13" t="s">
        <v>292</v>
      </c>
      <c r="F67" s="647" t="s">
        <v>579</v>
      </c>
      <c r="G67" s="648"/>
      <c r="H67" s="172">
        <f>4.43*D33+161.4</f>
        <v>161.4</v>
      </c>
      <c r="I67" s="1" t="s">
        <v>580</v>
      </c>
      <c r="Q67" s="109"/>
    </row>
    <row r="68" spans="2:17" ht="18.75" hidden="1" customHeight="1" x14ac:dyDescent="0.45">
      <c r="B68" s="646"/>
      <c r="C68" s="625"/>
      <c r="D68" s="165" t="s">
        <v>581</v>
      </c>
      <c r="E68" s="13" t="s">
        <v>292</v>
      </c>
      <c r="F68" s="647" t="s">
        <v>582</v>
      </c>
      <c r="G68" s="648"/>
      <c r="H68" s="172">
        <f>1.19*D33+19.3</f>
        <v>19.3</v>
      </c>
      <c r="I68" s="1" t="s">
        <v>583</v>
      </c>
      <c r="K68" s="173"/>
      <c r="Q68" s="109"/>
    </row>
    <row r="69" spans="2:17" ht="18.75" hidden="1" customHeight="1" x14ac:dyDescent="0.45">
      <c r="B69" s="646"/>
      <c r="C69" s="624" t="s">
        <v>371</v>
      </c>
      <c r="D69" s="10" t="s">
        <v>576</v>
      </c>
      <c r="E69" s="13" t="s">
        <v>292</v>
      </c>
      <c r="F69" s="647" t="s">
        <v>584</v>
      </c>
      <c r="G69" s="648"/>
      <c r="H69" s="172">
        <f>0.86*D33+1.06</f>
        <v>1.06</v>
      </c>
      <c r="I69" s="1" t="s">
        <v>585</v>
      </c>
      <c r="K69" s="173"/>
      <c r="O69" s="653"/>
      <c r="P69" s="653"/>
      <c r="Q69" s="116"/>
    </row>
    <row r="70" spans="2:17" ht="18.75" hidden="1" customHeight="1" x14ac:dyDescent="0.45">
      <c r="B70" s="646"/>
      <c r="C70" s="625"/>
      <c r="D70" s="165" t="s">
        <v>581</v>
      </c>
      <c r="E70" s="13" t="s">
        <v>292</v>
      </c>
      <c r="F70" s="647" t="s">
        <v>586</v>
      </c>
      <c r="G70" s="648"/>
      <c r="H70" s="172">
        <f>0.133*D33+1.59</f>
        <v>1.59</v>
      </c>
      <c r="I70" s="1" t="s">
        <v>587</v>
      </c>
      <c r="K70" s="168"/>
      <c r="Q70" s="116"/>
    </row>
    <row r="71" spans="2:17" ht="18.75" hidden="1" customHeight="1" x14ac:dyDescent="0.45">
      <c r="B71" s="646"/>
      <c r="C71" s="174"/>
      <c r="D71" s="165" t="s">
        <v>588</v>
      </c>
      <c r="E71" s="13" t="s">
        <v>292</v>
      </c>
      <c r="F71" s="647" t="s">
        <v>589</v>
      </c>
      <c r="G71" s="648"/>
      <c r="H71" s="172">
        <f>0.071*D33+5.19</f>
        <v>5.19</v>
      </c>
      <c r="I71" s="1" t="s">
        <v>590</v>
      </c>
      <c r="K71" s="168"/>
      <c r="Q71" s="116"/>
    </row>
    <row r="72" spans="2:17" ht="18.75" hidden="1" customHeight="1" x14ac:dyDescent="0.45">
      <c r="B72" s="646"/>
      <c r="C72" s="175"/>
      <c r="D72" s="134" t="s">
        <v>310</v>
      </c>
      <c r="E72" s="13" t="s">
        <v>292</v>
      </c>
      <c r="F72" s="513" t="s">
        <v>42</v>
      </c>
      <c r="G72" s="515"/>
      <c r="H72" s="172">
        <f>H66+H67+H68+H69+H70+H71</f>
        <v>202.65</v>
      </c>
      <c r="I72" s="1" t="s">
        <v>591</v>
      </c>
      <c r="K72" s="653"/>
      <c r="L72" s="653"/>
      <c r="O72" s="653"/>
      <c r="P72" s="653"/>
      <c r="Q72" s="109"/>
    </row>
    <row r="73" spans="2:17" ht="18.75" hidden="1" customHeight="1" x14ac:dyDescent="0.45">
      <c r="B73" s="646"/>
      <c r="C73" s="624" t="s">
        <v>281</v>
      </c>
      <c r="D73" s="624" t="s">
        <v>592</v>
      </c>
      <c r="E73" s="16" t="s">
        <v>593</v>
      </c>
      <c r="F73" s="513" t="s">
        <v>594</v>
      </c>
      <c r="G73" s="515"/>
      <c r="H73" s="176">
        <f xml:space="preserve"> 20.39*D33-18.17</f>
        <v>-18.170000000000002</v>
      </c>
      <c r="I73" s="1" t="s">
        <v>595</v>
      </c>
      <c r="Q73" s="109"/>
    </row>
    <row r="74" spans="2:17" ht="18.75" hidden="1" customHeight="1" x14ac:dyDescent="0.45">
      <c r="B74" s="646"/>
      <c r="C74" s="646"/>
      <c r="D74" s="625"/>
      <c r="E74" s="131" t="s">
        <v>292</v>
      </c>
      <c r="F74" s="630" t="s">
        <v>596</v>
      </c>
      <c r="G74" s="631"/>
      <c r="H74" s="177">
        <f>H73*G34*10^-3</f>
        <v>0</v>
      </c>
      <c r="I74" s="145" t="s">
        <v>597</v>
      </c>
      <c r="K74" s="99"/>
      <c r="L74" s="96"/>
      <c r="O74" s="653"/>
      <c r="P74" s="653"/>
      <c r="Q74" s="127"/>
    </row>
    <row r="75" spans="2:17" ht="18.75" hidden="1" customHeight="1" x14ac:dyDescent="0.45">
      <c r="B75" s="646"/>
      <c r="C75" s="646"/>
      <c r="D75" s="624" t="s">
        <v>598</v>
      </c>
      <c r="E75" s="131" t="s">
        <v>599</v>
      </c>
      <c r="F75" s="630" t="s">
        <v>600</v>
      </c>
      <c r="G75" s="631"/>
      <c r="H75" s="176">
        <f xml:space="preserve"> 2.07*D33</f>
        <v>0</v>
      </c>
      <c r="I75" s="1" t="s">
        <v>595</v>
      </c>
      <c r="Q75" s="127"/>
    </row>
    <row r="76" spans="2:17" ht="18.75" hidden="1" customHeight="1" x14ac:dyDescent="0.45">
      <c r="B76" s="646"/>
      <c r="C76" s="646"/>
      <c r="D76" s="720"/>
      <c r="E76" s="131" t="s">
        <v>601</v>
      </c>
      <c r="F76" s="513" t="s">
        <v>602</v>
      </c>
      <c r="G76" s="515"/>
      <c r="H76" s="177">
        <f>29.57*D33</f>
        <v>0</v>
      </c>
      <c r="I76" s="145" t="s">
        <v>603</v>
      </c>
      <c r="O76" s="653"/>
      <c r="P76" s="653"/>
      <c r="Q76" s="116"/>
    </row>
    <row r="77" spans="2:17" ht="18.75" hidden="1" customHeight="1" x14ac:dyDescent="0.45">
      <c r="B77" s="646"/>
      <c r="C77" s="646"/>
      <c r="D77" s="720"/>
      <c r="E77" s="516" t="s">
        <v>604</v>
      </c>
      <c r="F77" s="630" t="s">
        <v>605</v>
      </c>
      <c r="G77" s="631"/>
      <c r="H77" s="716">
        <f>H75*G35*10^-3</f>
        <v>0</v>
      </c>
      <c r="I77" s="644" t="s">
        <v>606</v>
      </c>
      <c r="Q77" s="116"/>
    </row>
    <row r="78" spans="2:17" ht="18.75" hidden="1" customHeight="1" x14ac:dyDescent="0.45">
      <c r="B78" s="646"/>
      <c r="C78" s="646"/>
      <c r="D78" s="720"/>
      <c r="E78" s="522"/>
      <c r="F78" s="632"/>
      <c r="G78" s="633"/>
      <c r="H78" s="717"/>
      <c r="I78" s="625"/>
      <c r="Q78" s="116"/>
    </row>
    <row r="79" spans="2:17" ht="19.5" hidden="1" customHeight="1" x14ac:dyDescent="0.45">
      <c r="B79" s="646"/>
      <c r="C79" s="646"/>
      <c r="D79" s="720"/>
      <c r="E79" s="516" t="s">
        <v>607</v>
      </c>
      <c r="F79" s="630" t="s">
        <v>608</v>
      </c>
      <c r="G79" s="631"/>
      <c r="H79" s="716">
        <f>H76*G36*10^-3</f>
        <v>0</v>
      </c>
      <c r="I79" s="644" t="s">
        <v>609</v>
      </c>
      <c r="Q79" s="116"/>
    </row>
    <row r="80" spans="2:17" ht="19.5" hidden="1" customHeight="1" x14ac:dyDescent="0.45">
      <c r="B80" s="646"/>
      <c r="C80" s="646"/>
      <c r="D80" s="720"/>
      <c r="E80" s="522"/>
      <c r="F80" s="632"/>
      <c r="G80" s="633"/>
      <c r="H80" s="717"/>
      <c r="I80" s="625"/>
      <c r="K80" s="173"/>
      <c r="Q80" s="116"/>
    </row>
    <row r="81" spans="2:17" ht="18.75" hidden="1" customHeight="1" x14ac:dyDescent="0.45">
      <c r="B81" s="646"/>
      <c r="C81" s="625"/>
      <c r="D81" s="721"/>
      <c r="E81" s="131" t="s">
        <v>292</v>
      </c>
      <c r="F81" s="513" t="s">
        <v>42</v>
      </c>
      <c r="G81" s="515"/>
      <c r="H81" s="178">
        <f>H77+H79</f>
        <v>0</v>
      </c>
      <c r="I81" s="179" t="s">
        <v>610</v>
      </c>
      <c r="Q81" s="116"/>
    </row>
    <row r="82" spans="2:17" ht="18.75" hidden="1" customHeight="1" x14ac:dyDescent="0.45">
      <c r="B82" s="646"/>
      <c r="C82" s="624" t="s">
        <v>611</v>
      </c>
      <c r="D82" s="624" t="s">
        <v>592</v>
      </c>
      <c r="E82" s="518" t="s">
        <v>593</v>
      </c>
      <c r="F82" s="630" t="s">
        <v>612</v>
      </c>
      <c r="G82" s="631"/>
      <c r="H82" s="718">
        <f>39.39*D33+222.84</f>
        <v>222.84</v>
      </c>
      <c r="I82" s="712" t="s">
        <v>613</v>
      </c>
      <c r="K82" s="173"/>
      <c r="O82" s="88"/>
    </row>
    <row r="83" spans="2:17" ht="18.75" hidden="1" customHeight="1" x14ac:dyDescent="0.45">
      <c r="B83" s="646"/>
      <c r="C83" s="646"/>
      <c r="D83" s="646"/>
      <c r="E83" s="517"/>
      <c r="F83" s="632"/>
      <c r="G83" s="633"/>
      <c r="H83" s="719"/>
      <c r="I83" s="713"/>
      <c r="K83" s="173"/>
      <c r="O83" s="88"/>
    </row>
    <row r="84" spans="2:17" ht="19.5" hidden="1" customHeight="1" x14ac:dyDescent="0.45">
      <c r="B84" s="646"/>
      <c r="C84" s="646"/>
      <c r="D84" s="625"/>
      <c r="E84" s="131" t="s">
        <v>292</v>
      </c>
      <c r="F84" s="630" t="s">
        <v>614</v>
      </c>
      <c r="G84" s="631"/>
      <c r="H84" s="180">
        <f>H82*G34*10^-3</f>
        <v>0</v>
      </c>
      <c r="I84" s="10" t="s">
        <v>615</v>
      </c>
      <c r="O84" s="88"/>
    </row>
    <row r="85" spans="2:17" s="96" customFormat="1" hidden="1" x14ac:dyDescent="0.45">
      <c r="B85" s="646"/>
      <c r="C85" s="646"/>
      <c r="D85" s="714" t="s">
        <v>616</v>
      </c>
      <c r="E85" s="136" t="s">
        <v>617</v>
      </c>
      <c r="F85" s="640" t="s">
        <v>618</v>
      </c>
      <c r="G85" s="515"/>
      <c r="H85" s="181">
        <f>112.07*D33-217.98</f>
        <v>-217.98</v>
      </c>
      <c r="I85" s="1" t="s">
        <v>595</v>
      </c>
      <c r="O85" s="715"/>
      <c r="P85" s="715"/>
    </row>
    <row r="86" spans="2:17" ht="19.5" hidden="1" customHeight="1" x14ac:dyDescent="0.45">
      <c r="B86" s="646"/>
      <c r="C86" s="646"/>
      <c r="D86" s="646"/>
      <c r="E86" s="13" t="s">
        <v>292</v>
      </c>
      <c r="F86" s="647" t="s">
        <v>619</v>
      </c>
      <c r="G86" s="515"/>
      <c r="H86" s="172">
        <f>H85*G34*10^-3</f>
        <v>0</v>
      </c>
      <c r="I86" s="144" t="s">
        <v>620</v>
      </c>
      <c r="K86" s="173"/>
    </row>
    <row r="87" spans="2:17" ht="19.5" hidden="1" customHeight="1" x14ac:dyDescent="0.45">
      <c r="B87" s="646"/>
      <c r="C87" s="646"/>
      <c r="D87" s="624" t="s">
        <v>621</v>
      </c>
      <c r="E87" s="16" t="s">
        <v>622</v>
      </c>
      <c r="F87" s="647" t="s">
        <v>623</v>
      </c>
      <c r="G87" s="515"/>
      <c r="H87" s="182">
        <f>0.098*D33</f>
        <v>0</v>
      </c>
      <c r="I87" s="144" t="s">
        <v>624</v>
      </c>
    </row>
    <row r="88" spans="2:17" ht="19.5" hidden="1" customHeight="1" x14ac:dyDescent="0.45">
      <c r="B88" s="646"/>
      <c r="C88" s="646"/>
      <c r="D88" s="625"/>
      <c r="E88" s="132" t="s">
        <v>625</v>
      </c>
      <c r="F88" s="647" t="s">
        <v>626</v>
      </c>
      <c r="G88" s="515"/>
      <c r="H88" s="182">
        <f>H87*G37*10^-3</f>
        <v>0</v>
      </c>
      <c r="I88" s="143" t="s">
        <v>627</v>
      </c>
    </row>
    <row r="89" spans="2:17" ht="36" hidden="1" x14ac:dyDescent="0.45">
      <c r="B89" s="646"/>
      <c r="C89" s="646"/>
      <c r="D89" s="624" t="s">
        <v>628</v>
      </c>
      <c r="E89" s="17" t="s">
        <v>629</v>
      </c>
      <c r="F89" s="647" t="s">
        <v>630</v>
      </c>
      <c r="G89" s="648"/>
      <c r="H89" s="34">
        <f>42.98*D33</f>
        <v>0</v>
      </c>
      <c r="I89" s="1" t="s">
        <v>595</v>
      </c>
      <c r="O89" s="653"/>
      <c r="P89" s="653"/>
    </row>
    <row r="90" spans="2:17" ht="19.5" hidden="1" customHeight="1" x14ac:dyDescent="0.45">
      <c r="B90" s="646"/>
      <c r="C90" s="646"/>
      <c r="D90" s="646"/>
      <c r="E90" s="13" t="s">
        <v>292</v>
      </c>
      <c r="F90" s="710" t="s">
        <v>631</v>
      </c>
      <c r="G90" s="711"/>
      <c r="H90" s="171">
        <f>H89*G38*10^-3</f>
        <v>0</v>
      </c>
      <c r="I90" s="143" t="s">
        <v>632</v>
      </c>
      <c r="K90" s="173"/>
    </row>
    <row r="91" spans="2:17" ht="39" hidden="1" customHeight="1" x14ac:dyDescent="0.45">
      <c r="B91" s="646"/>
      <c r="C91" s="646"/>
      <c r="D91" s="624" t="s">
        <v>633</v>
      </c>
      <c r="E91" s="17" t="s">
        <v>634</v>
      </c>
      <c r="F91" s="513" t="s">
        <v>635</v>
      </c>
      <c r="G91" s="515"/>
      <c r="H91" s="34">
        <f>75.56*D33</f>
        <v>0</v>
      </c>
      <c r="I91" s="1" t="s">
        <v>595</v>
      </c>
      <c r="O91" s="653"/>
      <c r="P91" s="653"/>
    </row>
    <row r="92" spans="2:17" ht="19.5" hidden="1" customHeight="1" x14ac:dyDescent="0.45">
      <c r="B92" s="646"/>
      <c r="C92" s="646"/>
      <c r="D92" s="646"/>
      <c r="E92" s="13" t="s">
        <v>292</v>
      </c>
      <c r="F92" s="636" t="s">
        <v>636</v>
      </c>
      <c r="G92" s="637"/>
      <c r="H92" s="171">
        <f>H91*G39*10^-6</f>
        <v>0</v>
      </c>
      <c r="I92" s="1" t="s">
        <v>637</v>
      </c>
    </row>
    <row r="93" spans="2:17" ht="19.5" hidden="1" customHeight="1" x14ac:dyDescent="0.45">
      <c r="B93" s="646"/>
      <c r="C93" s="646"/>
      <c r="D93" s="10" t="s">
        <v>638</v>
      </c>
      <c r="E93" s="16" t="s">
        <v>292</v>
      </c>
      <c r="F93" s="513" t="s">
        <v>639</v>
      </c>
      <c r="G93" s="515"/>
      <c r="H93" s="34">
        <v>94</v>
      </c>
      <c r="I93" s="1" t="s">
        <v>640</v>
      </c>
    </row>
    <row r="94" spans="2:17" ht="19.5" hidden="1" customHeight="1" x14ac:dyDescent="0.45">
      <c r="B94" s="646"/>
      <c r="C94" s="646"/>
      <c r="D94" s="10" t="s">
        <v>641</v>
      </c>
      <c r="E94" s="16" t="s">
        <v>292</v>
      </c>
      <c r="F94" s="513" t="s">
        <v>639</v>
      </c>
      <c r="G94" s="515"/>
      <c r="H94" s="34">
        <v>58</v>
      </c>
      <c r="I94" s="1" t="s">
        <v>642</v>
      </c>
    </row>
    <row r="95" spans="2:17" hidden="1" x14ac:dyDescent="0.45">
      <c r="B95" s="646"/>
      <c r="C95" s="625"/>
      <c r="D95" s="16" t="s">
        <v>643</v>
      </c>
      <c r="E95" s="16" t="s">
        <v>292</v>
      </c>
      <c r="F95" s="513" t="s">
        <v>42</v>
      </c>
      <c r="G95" s="515"/>
      <c r="H95" s="34">
        <f>H74+H81+H84-H86+H88+H90+H92+H93+H94</f>
        <v>152</v>
      </c>
      <c r="I95" s="2" t="s">
        <v>644</v>
      </c>
      <c r="K95" s="173"/>
    </row>
    <row r="96" spans="2:17" ht="54" hidden="1" x14ac:dyDescent="0.45">
      <c r="B96" s="646"/>
      <c r="C96" s="133"/>
      <c r="D96" s="134" t="s">
        <v>572</v>
      </c>
      <c r="E96" s="16" t="s">
        <v>292</v>
      </c>
      <c r="F96" s="710" t="s">
        <v>573</v>
      </c>
      <c r="G96" s="711"/>
      <c r="H96" s="34">
        <f>H72*(0.15*0.4+0.04)</f>
        <v>20.265000000000001</v>
      </c>
      <c r="I96" s="111" t="s">
        <v>645</v>
      </c>
    </row>
    <row r="97" spans="2:12" ht="19.5" hidden="1" customHeight="1" x14ac:dyDescent="0.45">
      <c r="B97" s="625"/>
      <c r="C97" s="538" t="s">
        <v>323</v>
      </c>
      <c r="D97" s="538"/>
      <c r="E97" s="16" t="s">
        <v>292</v>
      </c>
      <c r="F97" s="513" t="s">
        <v>42</v>
      </c>
      <c r="G97" s="515"/>
      <c r="H97" s="34">
        <f>H72+H95+H96</f>
        <v>374.91499999999996</v>
      </c>
      <c r="I97" s="1" t="s">
        <v>646</v>
      </c>
    </row>
    <row r="98" spans="2:12" ht="39" hidden="1" customHeight="1" x14ac:dyDescent="0.45">
      <c r="B98" s="607" t="s">
        <v>394</v>
      </c>
      <c r="C98" s="608"/>
      <c r="D98" s="609"/>
      <c r="E98" s="16" t="s">
        <v>395</v>
      </c>
      <c r="F98" s="513" t="s">
        <v>42</v>
      </c>
      <c r="G98" s="515"/>
      <c r="H98" s="159" t="e">
        <f>1-H97/H65</f>
        <v>#REF!</v>
      </c>
      <c r="I98" s="1" t="s">
        <v>647</v>
      </c>
    </row>
    <row r="99" spans="2:12" ht="19.5" hidden="1" customHeight="1" x14ac:dyDescent="0.45"/>
    <row r="100" spans="2:12" ht="32.4" hidden="1" x14ac:dyDescent="0.45">
      <c r="B100" s="88" t="s">
        <v>648</v>
      </c>
    </row>
    <row r="101" spans="2:12" ht="19.5" hidden="1" customHeight="1" x14ac:dyDescent="0.45">
      <c r="B101" s="521" t="s">
        <v>27</v>
      </c>
      <c r="C101" s="521"/>
      <c r="D101" s="521"/>
      <c r="E101" s="16" t="s">
        <v>29</v>
      </c>
      <c r="F101" s="513" t="s">
        <v>398</v>
      </c>
      <c r="G101" s="515"/>
      <c r="H101" s="133" t="s">
        <v>279</v>
      </c>
      <c r="I101" s="16" t="s">
        <v>280</v>
      </c>
    </row>
    <row r="102" spans="2:12" ht="19.5" hidden="1" customHeight="1" x14ac:dyDescent="0.45">
      <c r="B102" s="166" t="s">
        <v>131</v>
      </c>
      <c r="C102" s="183"/>
      <c r="D102" s="165" t="s">
        <v>649</v>
      </c>
      <c r="E102" s="16" t="s">
        <v>283</v>
      </c>
      <c r="F102" s="513" t="s">
        <v>42</v>
      </c>
      <c r="G102" s="515"/>
      <c r="H102" s="184">
        <f>H51</f>
        <v>0</v>
      </c>
      <c r="I102" s="185" t="s">
        <v>650</v>
      </c>
    </row>
    <row r="103" spans="2:12" ht="19.5" hidden="1" customHeight="1" x14ac:dyDescent="0.45">
      <c r="B103" s="166" t="s">
        <v>326</v>
      </c>
      <c r="C103" s="183"/>
      <c r="D103" s="183" t="s">
        <v>649</v>
      </c>
      <c r="E103" s="16" t="s">
        <v>283</v>
      </c>
      <c r="F103" s="513" t="s">
        <v>651</v>
      </c>
      <c r="G103" s="515"/>
      <c r="H103" s="184">
        <f>H66/(L52*(1+L52)^L56)*((1+L52)^L56-1)+H67/(L52*(1+L52)^L58)*((1+L52)^L58-1)+H68/(L52*(1+L52)^L59)*((1+L52)^L59-1)+H69/(L52*(1+L52)^L57)*((1+L52)^L57-1)+H70/(L52*(1+L52)^L59)*((1+L52)^L59-1)+H71/(L52*(1+L52)^L55)*((1+L52)^L55-1)</f>
        <v>2033.6720424143473</v>
      </c>
      <c r="I103" s="1" t="s">
        <v>652</v>
      </c>
    </row>
    <row r="104" spans="2:12" ht="39" hidden="1" customHeight="1" x14ac:dyDescent="0.45">
      <c r="B104" s="607" t="s">
        <v>653</v>
      </c>
      <c r="C104" s="708"/>
      <c r="D104" s="709"/>
      <c r="E104" s="16" t="s">
        <v>395</v>
      </c>
      <c r="F104" s="513" t="s">
        <v>42</v>
      </c>
      <c r="G104" s="515"/>
      <c r="H104" s="186" t="e">
        <f>1-H103/H102</f>
        <v>#DIV/0!</v>
      </c>
      <c r="I104" s="1" t="s">
        <v>647</v>
      </c>
    </row>
    <row r="105" spans="2:12" ht="19.5" hidden="1" customHeight="1" x14ac:dyDescent="0.45">
      <c r="B105" s="166" t="s">
        <v>131</v>
      </c>
      <c r="C105" s="183"/>
      <c r="D105" s="165" t="s">
        <v>654</v>
      </c>
      <c r="E105" s="16" t="s">
        <v>292</v>
      </c>
      <c r="F105" s="513" t="s">
        <v>42</v>
      </c>
      <c r="G105" s="515"/>
      <c r="H105" s="184" t="e">
        <f>H63</f>
        <v>#REF!</v>
      </c>
      <c r="I105" s="1" t="s">
        <v>380</v>
      </c>
    </row>
    <row r="106" spans="2:12" ht="19.5" hidden="1" customHeight="1" x14ac:dyDescent="0.45">
      <c r="B106" s="166" t="s">
        <v>326</v>
      </c>
      <c r="C106" s="183"/>
      <c r="D106" s="165" t="s">
        <v>654</v>
      </c>
      <c r="E106" s="16" t="s">
        <v>292</v>
      </c>
      <c r="F106" s="513" t="s">
        <v>42</v>
      </c>
      <c r="G106" s="515"/>
      <c r="H106" s="184">
        <f>H95</f>
        <v>152</v>
      </c>
      <c r="I106" s="1" t="s">
        <v>655</v>
      </c>
    </row>
    <row r="107" spans="2:12" ht="39" hidden="1" customHeight="1" x14ac:dyDescent="0.45">
      <c r="B107" s="607" t="s">
        <v>656</v>
      </c>
      <c r="C107" s="708"/>
      <c r="D107" s="709"/>
      <c r="E107" s="16" t="s">
        <v>395</v>
      </c>
      <c r="F107" s="513" t="s">
        <v>42</v>
      </c>
      <c r="G107" s="515"/>
      <c r="H107" s="186" t="e">
        <f>1-H106/H105</f>
        <v>#REF!</v>
      </c>
      <c r="I107" s="1" t="s">
        <v>657</v>
      </c>
      <c r="K107" s="173"/>
    </row>
    <row r="108" spans="2:12" ht="19.5" customHeight="1" x14ac:dyDescent="0.45">
      <c r="K108" s="147"/>
    </row>
    <row r="109" spans="2:12" ht="32.4" x14ac:dyDescent="0.45">
      <c r="B109" s="88" t="s">
        <v>397</v>
      </c>
    </row>
    <row r="110" spans="2:12" ht="19.5" customHeight="1" x14ac:dyDescent="0.45">
      <c r="B110" s="465" t="s">
        <v>27</v>
      </c>
      <c r="C110" s="465"/>
      <c r="D110" s="465"/>
      <c r="E110" s="26" t="s">
        <v>29</v>
      </c>
      <c r="F110" s="548" t="s">
        <v>398</v>
      </c>
      <c r="G110" s="549"/>
      <c r="H110" s="226" t="s">
        <v>399</v>
      </c>
      <c r="I110" s="26" t="s">
        <v>400</v>
      </c>
      <c r="K110" s="228" t="s">
        <v>658</v>
      </c>
      <c r="L110" s="227"/>
    </row>
    <row r="111" spans="2:12" ht="19.5" customHeight="1" x14ac:dyDescent="0.45">
      <c r="B111" s="670" t="s">
        <v>537</v>
      </c>
      <c r="C111" s="670" t="s">
        <v>281</v>
      </c>
      <c r="D111" s="596" t="s">
        <v>659</v>
      </c>
      <c r="E111" s="599" t="s">
        <v>593</v>
      </c>
      <c r="F111" s="702" t="s">
        <v>660</v>
      </c>
      <c r="G111" s="574"/>
      <c r="H111" s="678">
        <f>22*D31*G31*G33*10^-3</f>
        <v>0</v>
      </c>
      <c r="I111" s="660" t="s">
        <v>661</v>
      </c>
      <c r="K111" s="265" t="s">
        <v>662</v>
      </c>
      <c r="L111" s="602">
        <v>9.5</v>
      </c>
    </row>
    <row r="112" spans="2:12" ht="19.5" customHeight="1" x14ac:dyDescent="0.45">
      <c r="B112" s="671"/>
      <c r="C112" s="672"/>
      <c r="D112" s="598"/>
      <c r="E112" s="600"/>
      <c r="F112" s="577"/>
      <c r="G112" s="578"/>
      <c r="H112" s="705"/>
      <c r="I112" s="473"/>
      <c r="K112" s="266" t="s">
        <v>663</v>
      </c>
      <c r="L112" s="581"/>
    </row>
    <row r="113" spans="2:12" ht="19.5" customHeight="1" x14ac:dyDescent="0.45">
      <c r="B113" s="671"/>
      <c r="C113" s="670" t="s">
        <v>295</v>
      </c>
      <c r="D113" s="596" t="s">
        <v>659</v>
      </c>
      <c r="E113" s="599" t="s">
        <v>593</v>
      </c>
      <c r="F113" s="702" t="s">
        <v>664</v>
      </c>
      <c r="G113" s="703"/>
      <c r="H113" s="678">
        <f>(1.12*D31+266)*G31*24*G33*10^-3</f>
        <v>0</v>
      </c>
      <c r="I113" s="706" t="s">
        <v>665</v>
      </c>
      <c r="K113" s="267" t="s">
        <v>666</v>
      </c>
      <c r="L113" s="581">
        <v>39.1</v>
      </c>
    </row>
    <row r="114" spans="2:12" ht="19.5" customHeight="1" x14ac:dyDescent="0.45">
      <c r="B114" s="671"/>
      <c r="C114" s="672"/>
      <c r="D114" s="598"/>
      <c r="E114" s="600"/>
      <c r="F114" s="682"/>
      <c r="G114" s="704"/>
      <c r="H114" s="705"/>
      <c r="I114" s="662"/>
      <c r="K114" s="266" t="s">
        <v>257</v>
      </c>
      <c r="L114" s="581"/>
    </row>
    <row r="115" spans="2:12" x14ac:dyDescent="0.45">
      <c r="B115" s="671"/>
      <c r="C115" s="274"/>
      <c r="D115" s="697" t="s">
        <v>667</v>
      </c>
      <c r="E115" s="26" t="s">
        <v>593</v>
      </c>
      <c r="F115" s="497" t="s">
        <v>42</v>
      </c>
      <c r="G115" s="499"/>
      <c r="H115" s="257">
        <f>H111+H113</f>
        <v>0</v>
      </c>
      <c r="I115" s="268" t="s">
        <v>668</v>
      </c>
      <c r="K115" s="173"/>
    </row>
    <row r="116" spans="2:12" ht="20.25" customHeight="1" x14ac:dyDescent="0.45">
      <c r="B116" s="671"/>
      <c r="C116" s="275"/>
      <c r="D116" s="698"/>
      <c r="E116" s="276" t="s">
        <v>669</v>
      </c>
      <c r="F116" s="687" t="s">
        <v>670</v>
      </c>
      <c r="G116" s="688"/>
      <c r="H116" s="258">
        <f>H115*L111</f>
        <v>0</v>
      </c>
      <c r="I116" s="269" t="s">
        <v>334</v>
      </c>
      <c r="K116" s="173"/>
    </row>
    <row r="117" spans="2:12" x14ac:dyDescent="0.45">
      <c r="B117" s="671"/>
      <c r="C117" s="670" t="s">
        <v>295</v>
      </c>
      <c r="D117" s="596" t="s">
        <v>671</v>
      </c>
      <c r="E117" s="599" t="s">
        <v>669</v>
      </c>
      <c r="F117" s="702" t="s">
        <v>672</v>
      </c>
      <c r="G117" s="703"/>
      <c r="H117" s="678">
        <f>H113*L111*20467/26778</f>
        <v>0</v>
      </c>
      <c r="I117" s="706" t="s">
        <v>673</v>
      </c>
      <c r="K117" s="173"/>
    </row>
    <row r="118" spans="2:12" x14ac:dyDescent="0.45">
      <c r="B118" s="671"/>
      <c r="C118" s="672"/>
      <c r="D118" s="598"/>
      <c r="E118" s="600"/>
      <c r="F118" s="682"/>
      <c r="G118" s="704"/>
      <c r="H118" s="705"/>
      <c r="I118" s="707"/>
      <c r="K118" s="173"/>
    </row>
    <row r="119" spans="2:12" ht="19.5" customHeight="1" x14ac:dyDescent="0.45">
      <c r="B119" s="672"/>
      <c r="C119" s="277"/>
      <c r="D119" s="278" t="s">
        <v>674</v>
      </c>
      <c r="E119" s="276" t="s">
        <v>669</v>
      </c>
      <c r="F119" s="497" t="s">
        <v>42</v>
      </c>
      <c r="G119" s="499"/>
      <c r="H119" s="253">
        <f>H116+H117</f>
        <v>0</v>
      </c>
      <c r="I119" s="250" t="s">
        <v>675</v>
      </c>
      <c r="K119" s="147"/>
    </row>
    <row r="120" spans="2:12" ht="19.5" customHeight="1" x14ac:dyDescent="0.45">
      <c r="B120" s="670" t="s">
        <v>326</v>
      </c>
      <c r="C120" s="279" t="s">
        <v>281</v>
      </c>
      <c r="D120" s="244" t="s">
        <v>659</v>
      </c>
      <c r="E120" s="245" t="s">
        <v>593</v>
      </c>
      <c r="F120" s="702" t="str">
        <f>F73</f>
        <v>Y= 20.39×XD－18.17</v>
      </c>
      <c r="G120" s="665"/>
      <c r="H120" s="259">
        <f>H73</f>
        <v>-18.170000000000002</v>
      </c>
      <c r="I120" s="11" t="s">
        <v>676</v>
      </c>
    </row>
    <row r="121" spans="2:12" ht="19.5" customHeight="1" x14ac:dyDescent="0.45">
      <c r="B121" s="671"/>
      <c r="C121" s="670" t="s">
        <v>611</v>
      </c>
      <c r="D121" s="596" t="s">
        <v>659</v>
      </c>
      <c r="E121" s="599" t="s">
        <v>593</v>
      </c>
      <c r="F121" s="664" t="str">
        <f>F82</f>
        <v>Y=39.39×XD+222.84</v>
      </c>
      <c r="G121" s="665"/>
      <c r="H121" s="694">
        <f>H82</f>
        <v>222.84</v>
      </c>
      <c r="I121" s="695" t="s">
        <v>677</v>
      </c>
      <c r="K121" s="147"/>
    </row>
    <row r="122" spans="2:12" ht="19.5" customHeight="1" x14ac:dyDescent="0.45">
      <c r="B122" s="671"/>
      <c r="C122" s="672"/>
      <c r="D122" s="672"/>
      <c r="E122" s="495"/>
      <c r="F122" s="666"/>
      <c r="G122" s="667"/>
      <c r="H122" s="679"/>
      <c r="I122" s="696"/>
      <c r="K122" s="147"/>
    </row>
    <row r="123" spans="2:12" x14ac:dyDescent="0.45">
      <c r="B123" s="671"/>
      <c r="C123" s="274"/>
      <c r="D123" s="697" t="s">
        <v>667</v>
      </c>
      <c r="E123" s="26" t="s">
        <v>593</v>
      </c>
      <c r="F123" s="497" t="s">
        <v>42</v>
      </c>
      <c r="G123" s="499"/>
      <c r="H123" s="257">
        <f>H120+H121</f>
        <v>204.67000000000002</v>
      </c>
      <c r="I123" s="268" t="s">
        <v>678</v>
      </c>
      <c r="K123" s="173"/>
    </row>
    <row r="124" spans="2:12" x14ac:dyDescent="0.45">
      <c r="B124" s="671"/>
      <c r="C124" s="280"/>
      <c r="D124" s="698"/>
      <c r="E124" s="276" t="s">
        <v>669</v>
      </c>
      <c r="F124" s="687" t="str">
        <f>F116</f>
        <v>Y=消費電力合計(MWh/年)×エネルギー消費原単位(MJ/kWh)</v>
      </c>
      <c r="G124" s="699"/>
      <c r="H124" s="257">
        <f>H123*L111</f>
        <v>1944.3650000000002</v>
      </c>
      <c r="I124" s="268" t="s">
        <v>370</v>
      </c>
      <c r="K124" s="173"/>
    </row>
    <row r="125" spans="2:12" ht="19.5" customHeight="1" x14ac:dyDescent="0.45">
      <c r="B125" s="671"/>
      <c r="C125" s="670" t="s">
        <v>611</v>
      </c>
      <c r="D125" s="596" t="s">
        <v>679</v>
      </c>
      <c r="E125" s="156" t="s">
        <v>622</v>
      </c>
      <c r="F125" s="700" t="str">
        <f>F87</f>
        <v>Y=0.098×XD</v>
      </c>
      <c r="G125" s="701"/>
      <c r="H125" s="260">
        <f>H87</f>
        <v>0</v>
      </c>
      <c r="I125" s="270" t="s">
        <v>680</v>
      </c>
    </row>
    <row r="126" spans="2:12" ht="19.5" customHeight="1" x14ac:dyDescent="0.45">
      <c r="B126" s="671"/>
      <c r="C126" s="672"/>
      <c r="D126" s="672"/>
      <c r="E126" s="26" t="s">
        <v>669</v>
      </c>
      <c r="F126" s="687" t="s">
        <v>681</v>
      </c>
      <c r="G126" s="699"/>
      <c r="H126" s="261">
        <f>H125*L113</f>
        <v>0</v>
      </c>
      <c r="I126" s="271" t="s">
        <v>380</v>
      </c>
    </row>
    <row r="127" spans="2:12" ht="19.5" customHeight="1" x14ac:dyDescent="0.45">
      <c r="B127" s="671"/>
      <c r="C127" s="277"/>
      <c r="D127" s="229" t="s">
        <v>674</v>
      </c>
      <c r="E127" s="266" t="s">
        <v>669</v>
      </c>
      <c r="F127" s="497" t="s">
        <v>42</v>
      </c>
      <c r="G127" s="499"/>
      <c r="H127" s="253">
        <f>H124+H126</f>
        <v>1944.3650000000002</v>
      </c>
      <c r="I127" s="250" t="s">
        <v>682</v>
      </c>
      <c r="K127" s="147"/>
    </row>
    <row r="128" spans="2:12" ht="19.5" customHeight="1" x14ac:dyDescent="0.45">
      <c r="B128" s="671"/>
      <c r="C128" s="670" t="s">
        <v>611</v>
      </c>
      <c r="D128" s="596" t="s">
        <v>683</v>
      </c>
      <c r="E128" s="26" t="s">
        <v>593</v>
      </c>
      <c r="F128" s="497" t="str">
        <f>F85</f>
        <v>Y=112.07×XD-217.98</v>
      </c>
      <c r="G128" s="499"/>
      <c r="H128" s="253">
        <f>H85</f>
        <v>-217.98</v>
      </c>
      <c r="I128" s="270" t="s">
        <v>578</v>
      </c>
      <c r="K128" s="147"/>
    </row>
    <row r="129" spans="2:16" x14ac:dyDescent="0.45">
      <c r="B129" s="671"/>
      <c r="C129" s="672"/>
      <c r="D129" s="672"/>
      <c r="E129" s="26" t="s">
        <v>669</v>
      </c>
      <c r="F129" s="687" t="s">
        <v>684</v>
      </c>
      <c r="G129" s="688"/>
      <c r="H129" s="257">
        <f>H128*L111</f>
        <v>-2070.81</v>
      </c>
      <c r="I129" s="268" t="s">
        <v>685</v>
      </c>
      <c r="K129" s="173"/>
    </row>
    <row r="130" spans="2:16" x14ac:dyDescent="0.45">
      <c r="B130" s="671"/>
      <c r="C130" s="573" t="s">
        <v>686</v>
      </c>
      <c r="D130" s="574"/>
      <c r="E130" s="493" t="s">
        <v>669</v>
      </c>
      <c r="F130" s="573"/>
      <c r="G130" s="574"/>
      <c r="H130" s="678">
        <f>H127-H129</f>
        <v>4015.1750000000002</v>
      </c>
      <c r="I130" s="272" t="s">
        <v>687</v>
      </c>
    </row>
    <row r="131" spans="2:16" x14ac:dyDescent="0.45">
      <c r="B131" s="672"/>
      <c r="C131" s="689"/>
      <c r="D131" s="690"/>
      <c r="E131" s="495"/>
      <c r="F131" s="281"/>
      <c r="G131" s="282"/>
      <c r="H131" s="679"/>
      <c r="I131" s="273" t="s">
        <v>688</v>
      </c>
    </row>
    <row r="132" spans="2:16" ht="39" customHeight="1" x14ac:dyDescent="0.45">
      <c r="B132" s="584" t="s">
        <v>397</v>
      </c>
      <c r="C132" s="585"/>
      <c r="D132" s="691"/>
      <c r="E132" s="26" t="s">
        <v>395</v>
      </c>
      <c r="F132" s="497" t="s">
        <v>42</v>
      </c>
      <c r="G132" s="499"/>
      <c r="H132" s="262" t="e">
        <f>(1-H130/H119)</f>
        <v>#DIV/0!</v>
      </c>
      <c r="I132" s="250" t="s">
        <v>689</v>
      </c>
      <c r="P132" s="102" t="s">
        <v>690</v>
      </c>
    </row>
    <row r="133" spans="2:16" ht="19.5" customHeight="1" x14ac:dyDescent="0.45"/>
    <row r="134" spans="2:16" ht="33" customHeight="1" x14ac:dyDescent="0.45">
      <c r="B134" s="88" t="s">
        <v>432</v>
      </c>
      <c r="K134" s="187"/>
      <c r="L134" s="108"/>
    </row>
    <row r="135" spans="2:16" ht="19.5" customHeight="1" x14ac:dyDescent="0.45">
      <c r="B135" s="465" t="s">
        <v>27</v>
      </c>
      <c r="C135" s="465"/>
      <c r="D135" s="465"/>
      <c r="E135" s="26" t="s">
        <v>29</v>
      </c>
      <c r="F135" s="548" t="s">
        <v>398</v>
      </c>
      <c r="G135" s="549"/>
      <c r="H135" s="226" t="s">
        <v>433</v>
      </c>
      <c r="I135" s="26" t="s">
        <v>280</v>
      </c>
      <c r="K135" s="228" t="s">
        <v>691</v>
      </c>
      <c r="L135" s="227"/>
    </row>
    <row r="136" spans="2:16" ht="19.5" customHeight="1" x14ac:dyDescent="0.45">
      <c r="B136" s="493" t="s">
        <v>537</v>
      </c>
      <c r="C136" s="670" t="s">
        <v>281</v>
      </c>
      <c r="D136" s="246" t="s">
        <v>434</v>
      </c>
      <c r="E136" s="87" t="s">
        <v>438</v>
      </c>
      <c r="F136" s="548" t="s">
        <v>692</v>
      </c>
      <c r="G136" s="549"/>
      <c r="H136" s="256">
        <f>H111*L136</f>
        <v>0</v>
      </c>
      <c r="I136" s="11" t="s">
        <v>693</v>
      </c>
      <c r="K136" s="265" t="s">
        <v>662</v>
      </c>
      <c r="L136" s="692">
        <v>0.25</v>
      </c>
    </row>
    <row r="137" spans="2:16" ht="19.5" customHeight="1" x14ac:dyDescent="0.45">
      <c r="B137" s="663"/>
      <c r="C137" s="671"/>
      <c r="D137" s="596" t="s">
        <v>694</v>
      </c>
      <c r="E137" s="286" t="s">
        <v>442</v>
      </c>
      <c r="F137" s="664" t="s">
        <v>695</v>
      </c>
      <c r="G137" s="587"/>
      <c r="H137" s="678">
        <f>0.005*D33*G31*G33*L140</f>
        <v>0</v>
      </c>
      <c r="I137" s="244" t="s">
        <v>696</v>
      </c>
      <c r="K137" s="266" t="s">
        <v>697</v>
      </c>
      <c r="L137" s="693"/>
    </row>
    <row r="138" spans="2:16" ht="19.5" customHeight="1" x14ac:dyDescent="0.45">
      <c r="B138" s="663"/>
      <c r="C138" s="672"/>
      <c r="D138" s="672"/>
      <c r="E138" s="287"/>
      <c r="F138" s="682" t="s">
        <v>698</v>
      </c>
      <c r="G138" s="677"/>
      <c r="H138" s="679"/>
      <c r="I138" s="246" t="s">
        <v>699</v>
      </c>
      <c r="K138" s="267" t="s">
        <v>666</v>
      </c>
      <c r="L138" s="601">
        <v>2.71</v>
      </c>
    </row>
    <row r="139" spans="2:16" ht="19.5" customHeight="1" x14ac:dyDescent="0.45">
      <c r="B139" s="663"/>
      <c r="C139" s="670" t="s">
        <v>700</v>
      </c>
      <c r="D139" s="246" t="s">
        <v>434</v>
      </c>
      <c r="E139" s="287" t="s">
        <v>442</v>
      </c>
      <c r="F139" s="548" t="s">
        <v>692</v>
      </c>
      <c r="G139" s="549"/>
      <c r="H139" s="263">
        <f>H113*L136</f>
        <v>0</v>
      </c>
      <c r="I139" s="250" t="s">
        <v>701</v>
      </c>
      <c r="K139" s="266" t="s">
        <v>702</v>
      </c>
      <c r="L139" s="602"/>
    </row>
    <row r="140" spans="2:16" ht="19.5" customHeight="1" x14ac:dyDescent="0.45">
      <c r="B140" s="663"/>
      <c r="C140" s="671"/>
      <c r="D140" s="596" t="s">
        <v>703</v>
      </c>
      <c r="E140" s="286" t="s">
        <v>442</v>
      </c>
      <c r="F140" s="673" t="s">
        <v>704</v>
      </c>
      <c r="G140" s="674"/>
      <c r="H140" s="678">
        <f>H117/L113*L138</f>
        <v>0</v>
      </c>
      <c r="I140" s="660" t="s">
        <v>334</v>
      </c>
      <c r="K140" s="267" t="s">
        <v>705</v>
      </c>
      <c r="L140" s="581">
        <v>6.5</v>
      </c>
    </row>
    <row r="141" spans="2:16" ht="19.5" customHeight="1" x14ac:dyDescent="0.45">
      <c r="B141" s="663"/>
      <c r="C141" s="671"/>
      <c r="D141" s="672"/>
      <c r="E141" s="287"/>
      <c r="F141" s="666" t="s">
        <v>706</v>
      </c>
      <c r="G141" s="667"/>
      <c r="H141" s="679"/>
      <c r="I141" s="473"/>
      <c r="K141" s="266" t="s">
        <v>707</v>
      </c>
      <c r="L141" s="581"/>
    </row>
    <row r="142" spans="2:16" ht="19.5" customHeight="1" x14ac:dyDescent="0.45">
      <c r="B142" s="663"/>
      <c r="C142" s="671"/>
      <c r="D142" s="596" t="s">
        <v>708</v>
      </c>
      <c r="E142" s="286" t="s">
        <v>442</v>
      </c>
      <c r="F142" s="683" t="s">
        <v>709</v>
      </c>
      <c r="G142" s="684"/>
      <c r="H142" s="678">
        <f>814/100*D31*L144*0.24</f>
        <v>0</v>
      </c>
      <c r="I142" s="283" t="s">
        <v>710</v>
      </c>
      <c r="K142" s="267" t="s">
        <v>711</v>
      </c>
      <c r="L142" s="581">
        <v>3.0800000000000001E-2</v>
      </c>
    </row>
    <row r="143" spans="2:16" ht="19.5" customHeight="1" x14ac:dyDescent="0.45">
      <c r="B143" s="663"/>
      <c r="C143" s="672"/>
      <c r="D143" s="672"/>
      <c r="E143" s="287"/>
      <c r="F143" s="685"/>
      <c r="G143" s="686"/>
      <c r="H143" s="679"/>
      <c r="I143" s="284" t="s">
        <v>712</v>
      </c>
      <c r="K143" s="266" t="s">
        <v>713</v>
      </c>
      <c r="L143" s="581"/>
    </row>
    <row r="144" spans="2:16" ht="19.5" customHeight="1" x14ac:dyDescent="0.45">
      <c r="B144" s="663"/>
      <c r="C144" s="288"/>
      <c r="D144" s="435" t="s">
        <v>714</v>
      </c>
      <c r="E144" s="286" t="s">
        <v>442</v>
      </c>
      <c r="F144" s="573" t="s">
        <v>42</v>
      </c>
      <c r="G144" s="574"/>
      <c r="H144" s="436">
        <f>H136+H137+H139+H140+H142</f>
        <v>0</v>
      </c>
      <c r="I144" s="285" t="s">
        <v>715</v>
      </c>
      <c r="K144" s="267" t="s">
        <v>716</v>
      </c>
      <c r="L144" s="581">
        <v>0.93799999999999994</v>
      </c>
    </row>
    <row r="145" spans="2:18" ht="19.5" customHeight="1" x14ac:dyDescent="0.45">
      <c r="B145" s="663"/>
      <c r="C145" s="474" t="s">
        <v>700</v>
      </c>
      <c r="D145" s="660" t="s">
        <v>446</v>
      </c>
      <c r="E145" s="554" t="s">
        <v>719</v>
      </c>
      <c r="F145" s="664" t="s">
        <v>720</v>
      </c>
      <c r="G145" s="665"/>
      <c r="H145" s="668">
        <f>0.000645*D31*G31*G33</f>
        <v>0</v>
      </c>
      <c r="I145" s="597" t="s">
        <v>721</v>
      </c>
      <c r="K145" s="266" t="s">
        <v>717</v>
      </c>
      <c r="L145" s="581"/>
    </row>
    <row r="146" spans="2:18" ht="19.5" customHeight="1" x14ac:dyDescent="0.45">
      <c r="B146" s="663"/>
      <c r="C146" s="659"/>
      <c r="D146" s="661"/>
      <c r="E146" s="556"/>
      <c r="F146" s="666"/>
      <c r="G146" s="667"/>
      <c r="H146" s="669"/>
      <c r="I146" s="598"/>
      <c r="K146" s="188" t="s">
        <v>718</v>
      </c>
    </row>
    <row r="147" spans="2:18" ht="19.5" customHeight="1" x14ac:dyDescent="0.45">
      <c r="B147" s="663"/>
      <c r="C147" s="473"/>
      <c r="D147" s="662"/>
      <c r="E147" s="249" t="s">
        <v>442</v>
      </c>
      <c r="F147" s="548" t="s">
        <v>724</v>
      </c>
      <c r="G147" s="549"/>
      <c r="H147" s="253">
        <f>H145*298</f>
        <v>0</v>
      </c>
      <c r="I147" s="250" t="s">
        <v>365</v>
      </c>
      <c r="K147" s="189" t="s">
        <v>722</v>
      </c>
    </row>
    <row r="148" spans="2:18" ht="19.5" customHeight="1" x14ac:dyDescent="0.45">
      <c r="B148" s="495"/>
      <c r="C148" s="228"/>
      <c r="D148" s="229" t="s">
        <v>415</v>
      </c>
      <c r="E148" s="249" t="s">
        <v>442</v>
      </c>
      <c r="F148" s="548" t="s">
        <v>42</v>
      </c>
      <c r="G148" s="549"/>
      <c r="H148" s="253">
        <f>H144+H147</f>
        <v>0</v>
      </c>
      <c r="I148" s="250" t="s">
        <v>725</v>
      </c>
      <c r="K148" s="189" t="s">
        <v>723</v>
      </c>
    </row>
    <row r="149" spans="2:18" ht="19.5" customHeight="1" x14ac:dyDescent="0.45">
      <c r="B149" s="288" t="s">
        <v>726</v>
      </c>
      <c r="C149" s="670" t="s">
        <v>281</v>
      </c>
      <c r="D149" s="246" t="s">
        <v>434</v>
      </c>
      <c r="E149" s="87" t="s">
        <v>438</v>
      </c>
      <c r="F149" s="548" t="s">
        <v>692</v>
      </c>
      <c r="G149" s="549"/>
      <c r="H149" s="253">
        <f>H120*L136</f>
        <v>-4.5425000000000004</v>
      </c>
      <c r="I149" s="250" t="s">
        <v>375</v>
      </c>
      <c r="Q149" s="109"/>
      <c r="R149" s="102"/>
    </row>
    <row r="150" spans="2:18" ht="19.2" x14ac:dyDescent="0.45">
      <c r="B150" s="289"/>
      <c r="C150" s="671"/>
      <c r="D150" s="596" t="s">
        <v>694</v>
      </c>
      <c r="E150" s="286" t="s">
        <v>442</v>
      </c>
      <c r="F150" s="664" t="s">
        <v>727</v>
      </c>
      <c r="G150" s="587"/>
      <c r="H150" s="678">
        <f>0.007*D33*G31*G33*L140</f>
        <v>0</v>
      </c>
      <c r="I150" s="244" t="s">
        <v>728</v>
      </c>
      <c r="Q150" s="127"/>
      <c r="R150" s="102"/>
    </row>
    <row r="151" spans="2:18" x14ac:dyDescent="0.45">
      <c r="B151" s="289"/>
      <c r="C151" s="671"/>
      <c r="D151" s="672"/>
      <c r="E151" s="287"/>
      <c r="F151" s="682" t="s">
        <v>698</v>
      </c>
      <c r="G151" s="677"/>
      <c r="H151" s="679"/>
      <c r="I151" s="246" t="s">
        <v>729</v>
      </c>
    </row>
    <row r="152" spans="2:18" ht="19.2" x14ac:dyDescent="0.45">
      <c r="B152" s="289"/>
      <c r="C152" s="671"/>
      <c r="D152" s="596" t="s">
        <v>730</v>
      </c>
      <c r="E152" s="286" t="s">
        <v>442</v>
      </c>
      <c r="F152" s="664" t="s">
        <v>731</v>
      </c>
      <c r="G152" s="587"/>
      <c r="H152" s="678">
        <f>0.1*D33*G31*G33*L142</f>
        <v>0</v>
      </c>
      <c r="I152" s="244" t="s">
        <v>732</v>
      </c>
      <c r="Q152" s="127"/>
      <c r="R152" s="102"/>
    </row>
    <row r="153" spans="2:18" x14ac:dyDescent="0.45">
      <c r="B153" s="289"/>
      <c r="C153" s="672"/>
      <c r="D153" s="672"/>
      <c r="E153" s="287"/>
      <c r="F153" s="682" t="s">
        <v>733</v>
      </c>
      <c r="G153" s="677"/>
      <c r="H153" s="679"/>
      <c r="I153" s="246" t="s">
        <v>734</v>
      </c>
    </row>
    <row r="154" spans="2:18" ht="19.2" x14ac:dyDescent="0.45">
      <c r="B154" s="290"/>
      <c r="C154" s="670" t="s">
        <v>735</v>
      </c>
      <c r="D154" s="246" t="s">
        <v>434</v>
      </c>
      <c r="E154" s="287" t="s">
        <v>442</v>
      </c>
      <c r="F154" s="548" t="s">
        <v>692</v>
      </c>
      <c r="G154" s="549"/>
      <c r="H154" s="263">
        <f>H121*L136</f>
        <v>55.71</v>
      </c>
      <c r="I154" s="250" t="s">
        <v>390</v>
      </c>
    </row>
    <row r="155" spans="2:18" ht="19.2" x14ac:dyDescent="0.45">
      <c r="B155" s="290"/>
      <c r="C155" s="671"/>
      <c r="D155" s="243" t="s">
        <v>703</v>
      </c>
      <c r="E155" s="286" t="s">
        <v>442</v>
      </c>
      <c r="F155" s="673" t="s">
        <v>736</v>
      </c>
      <c r="G155" s="674"/>
      <c r="H155" s="264">
        <f>H125*L138</f>
        <v>0</v>
      </c>
      <c r="I155" s="285" t="s">
        <v>685</v>
      </c>
    </row>
    <row r="156" spans="2:18" ht="19.2" x14ac:dyDescent="0.45">
      <c r="B156" s="290"/>
      <c r="C156" s="671"/>
      <c r="D156" s="596" t="s">
        <v>708</v>
      </c>
      <c r="E156" s="286" t="s">
        <v>442</v>
      </c>
      <c r="F156" s="557" t="s">
        <v>737</v>
      </c>
      <c r="G156" s="675"/>
      <c r="H156" s="678">
        <f>H89*L144*0.24</f>
        <v>0</v>
      </c>
      <c r="I156" s="660" t="s">
        <v>738</v>
      </c>
    </row>
    <row r="157" spans="2:18" x14ac:dyDescent="0.45">
      <c r="B157" s="290"/>
      <c r="C157" s="672"/>
      <c r="D157" s="672"/>
      <c r="E157" s="287"/>
      <c r="F157" s="676"/>
      <c r="G157" s="677"/>
      <c r="H157" s="679"/>
      <c r="I157" s="473"/>
    </row>
    <row r="158" spans="2:18" ht="19.2" x14ac:dyDescent="0.45">
      <c r="B158" s="290"/>
      <c r="C158" s="288"/>
      <c r="D158" s="435" t="s">
        <v>714</v>
      </c>
      <c r="E158" s="286" t="s">
        <v>442</v>
      </c>
      <c r="F158" s="573" t="s">
        <v>42</v>
      </c>
      <c r="G158" s="574"/>
      <c r="H158" s="436">
        <f>H149+H150+H152+H154+H155+H156</f>
        <v>51.167500000000004</v>
      </c>
      <c r="I158" s="285" t="s">
        <v>739</v>
      </c>
    </row>
    <row r="159" spans="2:18" ht="18.75" customHeight="1" x14ac:dyDescent="0.45">
      <c r="B159" s="290"/>
      <c r="C159" s="474" t="s">
        <v>740</v>
      </c>
      <c r="D159" s="474" t="s">
        <v>741</v>
      </c>
      <c r="E159" s="292" t="s">
        <v>742</v>
      </c>
      <c r="F159" s="664" t="s">
        <v>743</v>
      </c>
      <c r="G159" s="665"/>
      <c r="H159" s="668">
        <f>0.0001*D38*G31*G33</f>
        <v>0</v>
      </c>
      <c r="I159" s="660" t="s">
        <v>744</v>
      </c>
    </row>
    <row r="160" spans="2:18" x14ac:dyDescent="0.45">
      <c r="B160" s="290"/>
      <c r="C160" s="659"/>
      <c r="D160" s="659"/>
      <c r="E160" s="296"/>
      <c r="F160" s="666"/>
      <c r="G160" s="667"/>
      <c r="H160" s="669"/>
      <c r="I160" s="662"/>
    </row>
    <row r="161" spans="2:9" ht="18.75" customHeight="1" x14ac:dyDescent="0.45">
      <c r="B161" s="289"/>
      <c r="C161" s="473"/>
      <c r="D161" s="473"/>
      <c r="E161" s="87" t="s">
        <v>438</v>
      </c>
      <c r="F161" s="548" t="s">
        <v>724</v>
      </c>
      <c r="G161" s="549"/>
      <c r="H161" s="253">
        <f>H159*298</f>
        <v>0</v>
      </c>
      <c r="I161" s="251" t="s">
        <v>745</v>
      </c>
    </row>
    <row r="162" spans="2:9" ht="19.2" x14ac:dyDescent="0.45">
      <c r="B162" s="289"/>
      <c r="C162" s="437"/>
      <c r="D162" s="438" t="s">
        <v>1512</v>
      </c>
      <c r="E162" s="87" t="s">
        <v>438</v>
      </c>
      <c r="F162" s="548" t="s">
        <v>42</v>
      </c>
      <c r="G162" s="549"/>
      <c r="H162" s="253">
        <f>H158+H161</f>
        <v>51.167500000000004</v>
      </c>
      <c r="I162" s="251" t="s">
        <v>746</v>
      </c>
    </row>
    <row r="163" spans="2:9" ht="19.2" x14ac:dyDescent="0.45">
      <c r="B163" s="289"/>
      <c r="C163" s="279" t="s">
        <v>611</v>
      </c>
      <c r="D163" s="19" t="s">
        <v>472</v>
      </c>
      <c r="E163" s="87" t="s">
        <v>438</v>
      </c>
      <c r="F163" s="548" t="s">
        <v>747</v>
      </c>
      <c r="G163" s="549"/>
      <c r="H163" s="253">
        <f>-H128*L136</f>
        <v>54.494999999999997</v>
      </c>
      <c r="I163" s="251" t="s">
        <v>606</v>
      </c>
    </row>
    <row r="164" spans="2:9" ht="19.2" x14ac:dyDescent="0.45">
      <c r="B164" s="289"/>
      <c r="C164" s="437"/>
      <c r="D164" s="438" t="s">
        <v>1513</v>
      </c>
      <c r="E164" s="87" t="s">
        <v>438</v>
      </c>
      <c r="F164" s="548" t="s">
        <v>42</v>
      </c>
      <c r="G164" s="549"/>
      <c r="H164" s="253">
        <f>H162+H163</f>
        <v>105.66249999999999</v>
      </c>
      <c r="I164" s="251" t="s">
        <v>748</v>
      </c>
    </row>
    <row r="165" spans="2:9" ht="28.8" x14ac:dyDescent="0.45">
      <c r="B165" s="579" t="s">
        <v>432</v>
      </c>
      <c r="C165" s="680"/>
      <c r="D165" s="681"/>
      <c r="E165" s="26" t="s">
        <v>395</v>
      </c>
      <c r="F165" s="548" t="s">
        <v>42</v>
      </c>
      <c r="G165" s="549"/>
      <c r="H165" s="254" t="e">
        <f>1-H164/H148</f>
        <v>#DIV/0!</v>
      </c>
      <c r="I165" s="252" t="s">
        <v>749</v>
      </c>
    </row>
    <row r="166" spans="2:9" ht="18.75" customHeight="1" x14ac:dyDescent="0.45">
      <c r="B166" s="102"/>
      <c r="C166" s="102"/>
      <c r="D166" s="163"/>
    </row>
    <row r="167" spans="2:9" ht="18.75" customHeight="1" x14ac:dyDescent="0.45">
      <c r="B167" s="658" t="s">
        <v>750</v>
      </c>
      <c r="C167" s="658"/>
      <c r="D167" s="658"/>
      <c r="E167" s="658"/>
      <c r="F167" s="658"/>
      <c r="G167" s="658"/>
      <c r="H167" s="658"/>
      <c r="I167" s="658"/>
    </row>
    <row r="168" spans="2:9" ht="36.75" customHeight="1" x14ac:dyDescent="0.45">
      <c r="B168" s="658"/>
      <c r="C168" s="658"/>
      <c r="D168" s="658"/>
      <c r="E168" s="658"/>
      <c r="F168" s="658"/>
      <c r="G168" s="658"/>
      <c r="H168" s="658"/>
      <c r="I168" s="658"/>
    </row>
    <row r="172" spans="2:9" x14ac:dyDescent="0.45">
      <c r="B172" s="731" t="s">
        <v>93</v>
      </c>
      <c r="C172" s="732"/>
      <c r="D172" s="312">
        <f>H148-H164</f>
        <v>-105.66249999999999</v>
      </c>
      <c r="E172" s="311" t="s">
        <v>21</v>
      </c>
    </row>
  </sheetData>
  <mergeCells count="241">
    <mergeCell ref="B31:C31"/>
    <mergeCell ref="B32:C32"/>
    <mergeCell ref="B33:C33"/>
    <mergeCell ref="B34:C34"/>
    <mergeCell ref="Q35:R35"/>
    <mergeCell ref="B43:C44"/>
    <mergeCell ref="F45:G45"/>
    <mergeCell ref="B46:B65"/>
    <mergeCell ref="C46:C47"/>
    <mergeCell ref="F46:G46"/>
    <mergeCell ref="F47:G47"/>
    <mergeCell ref="C48:C50"/>
    <mergeCell ref="F48:G48"/>
    <mergeCell ref="F49:G49"/>
    <mergeCell ref="C54:C56"/>
    <mergeCell ref="D54:D56"/>
    <mergeCell ref="O49:O51"/>
    <mergeCell ref="R49:R50"/>
    <mergeCell ref="F50:G50"/>
    <mergeCell ref="F51:G51"/>
    <mergeCell ref="C65:D65"/>
    <mergeCell ref="F65:G65"/>
    <mergeCell ref="C57:C62"/>
    <mergeCell ref="E57:E58"/>
    <mergeCell ref="B172:C172"/>
    <mergeCell ref="S35:T35"/>
    <mergeCell ref="B35:C35"/>
    <mergeCell ref="B36:C36"/>
    <mergeCell ref="B37:C37"/>
    <mergeCell ref="B38:C38"/>
    <mergeCell ref="D52:D53"/>
    <mergeCell ref="E52:E53"/>
    <mergeCell ref="F52:G53"/>
    <mergeCell ref="H52:H53"/>
    <mergeCell ref="I52:I53"/>
    <mergeCell ref="O52:P52"/>
    <mergeCell ref="I59:I61"/>
    <mergeCell ref="K60:L61"/>
    <mergeCell ref="F62:G62"/>
    <mergeCell ref="I57:I58"/>
    <mergeCell ref="E54:E56"/>
    <mergeCell ref="F54:G56"/>
    <mergeCell ref="H54:H56"/>
    <mergeCell ref="I54:I56"/>
    <mergeCell ref="K54:L54"/>
    <mergeCell ref="F63:G63"/>
    <mergeCell ref="F64:G64"/>
    <mergeCell ref="D57:D58"/>
    <mergeCell ref="F57:G58"/>
    <mergeCell ref="H57:H58"/>
    <mergeCell ref="D59:D61"/>
    <mergeCell ref="E59:E61"/>
    <mergeCell ref="F59:G61"/>
    <mergeCell ref="H59:H61"/>
    <mergeCell ref="O69:P69"/>
    <mergeCell ref="F70:G70"/>
    <mergeCell ref="F71:G71"/>
    <mergeCell ref="F72:G72"/>
    <mergeCell ref="K72:L72"/>
    <mergeCell ref="O72:P72"/>
    <mergeCell ref="B66:B97"/>
    <mergeCell ref="F66:G66"/>
    <mergeCell ref="C67:C68"/>
    <mergeCell ref="F67:G67"/>
    <mergeCell ref="F68:G68"/>
    <mergeCell ref="C69:C70"/>
    <mergeCell ref="F69:G69"/>
    <mergeCell ref="C73:C81"/>
    <mergeCell ref="D73:D74"/>
    <mergeCell ref="F73:G73"/>
    <mergeCell ref="F74:G74"/>
    <mergeCell ref="O74:P74"/>
    <mergeCell ref="D75:D81"/>
    <mergeCell ref="F75:G75"/>
    <mergeCell ref="F76:G76"/>
    <mergeCell ref="O76:P76"/>
    <mergeCell ref="E77:E78"/>
    <mergeCell ref="F77:G78"/>
    <mergeCell ref="H77:H78"/>
    <mergeCell ref="I77:I78"/>
    <mergeCell ref="E79:E80"/>
    <mergeCell ref="F79:G80"/>
    <mergeCell ref="H79:H80"/>
    <mergeCell ref="I79:I80"/>
    <mergeCell ref="F81:G81"/>
    <mergeCell ref="C82:C95"/>
    <mergeCell ref="D82:D84"/>
    <mergeCell ref="E82:E83"/>
    <mergeCell ref="F82:G83"/>
    <mergeCell ref="H82:H83"/>
    <mergeCell ref="D87:D88"/>
    <mergeCell ref="F87:G87"/>
    <mergeCell ref="F88:G88"/>
    <mergeCell ref="D89:D90"/>
    <mergeCell ref="F89:G89"/>
    <mergeCell ref="O89:P89"/>
    <mergeCell ref="F90:G90"/>
    <mergeCell ref="I82:I83"/>
    <mergeCell ref="F84:G84"/>
    <mergeCell ref="D85:D86"/>
    <mergeCell ref="F85:G85"/>
    <mergeCell ref="O85:P85"/>
    <mergeCell ref="F86:G86"/>
    <mergeCell ref="F95:G95"/>
    <mergeCell ref="F96:G96"/>
    <mergeCell ref="C97:D97"/>
    <mergeCell ref="F97:G97"/>
    <mergeCell ref="B98:D98"/>
    <mergeCell ref="F98:G98"/>
    <mergeCell ref="D91:D92"/>
    <mergeCell ref="F91:G91"/>
    <mergeCell ref="O91:P91"/>
    <mergeCell ref="F92:G92"/>
    <mergeCell ref="F93:G93"/>
    <mergeCell ref="F94:G94"/>
    <mergeCell ref="F105:G105"/>
    <mergeCell ref="F106:G106"/>
    <mergeCell ref="B107:D107"/>
    <mergeCell ref="F107:G107"/>
    <mergeCell ref="B110:D110"/>
    <mergeCell ref="F110:G110"/>
    <mergeCell ref="B101:D101"/>
    <mergeCell ref="F101:G101"/>
    <mergeCell ref="F102:G102"/>
    <mergeCell ref="F103:G103"/>
    <mergeCell ref="B104:D104"/>
    <mergeCell ref="F104:G104"/>
    <mergeCell ref="C113:C114"/>
    <mergeCell ref="D113:D114"/>
    <mergeCell ref="E113:E114"/>
    <mergeCell ref="F113:G114"/>
    <mergeCell ref="H113:H114"/>
    <mergeCell ref="I113:I114"/>
    <mergeCell ref="L113:L114"/>
    <mergeCell ref="B111:B119"/>
    <mergeCell ref="C111:C112"/>
    <mergeCell ref="D111:D112"/>
    <mergeCell ref="E111:E112"/>
    <mergeCell ref="F111:G112"/>
    <mergeCell ref="H111:H112"/>
    <mergeCell ref="D115:D116"/>
    <mergeCell ref="F115:G115"/>
    <mergeCell ref="F116:G116"/>
    <mergeCell ref="C117:C118"/>
    <mergeCell ref="D117:D118"/>
    <mergeCell ref="E117:E118"/>
    <mergeCell ref="F117:G118"/>
    <mergeCell ref="H117:H118"/>
    <mergeCell ref="I117:I118"/>
    <mergeCell ref="F119:G119"/>
    <mergeCell ref="I111:I112"/>
    <mergeCell ref="L111:L112"/>
    <mergeCell ref="H121:H122"/>
    <mergeCell ref="I121:I122"/>
    <mergeCell ref="D123:D124"/>
    <mergeCell ref="F123:G123"/>
    <mergeCell ref="F124:G124"/>
    <mergeCell ref="D125:D126"/>
    <mergeCell ref="F125:G125"/>
    <mergeCell ref="F126:G126"/>
    <mergeCell ref="D121:D122"/>
    <mergeCell ref="E121:E122"/>
    <mergeCell ref="F121:G122"/>
    <mergeCell ref="F120:G120"/>
    <mergeCell ref="C136:C138"/>
    <mergeCell ref="F136:G136"/>
    <mergeCell ref="L136:L137"/>
    <mergeCell ref="D137:D138"/>
    <mergeCell ref="F137:G137"/>
    <mergeCell ref="H137:H138"/>
    <mergeCell ref="F138:G138"/>
    <mergeCell ref="L138:L139"/>
    <mergeCell ref="C139:C143"/>
    <mergeCell ref="E130:E131"/>
    <mergeCell ref="F130:G130"/>
    <mergeCell ref="H130:H131"/>
    <mergeCell ref="B132:D132"/>
    <mergeCell ref="F132:G132"/>
    <mergeCell ref="B120:B131"/>
    <mergeCell ref="C125:C126"/>
    <mergeCell ref="C121:C122"/>
    <mergeCell ref="B135:D135"/>
    <mergeCell ref="F135:G135"/>
    <mergeCell ref="I140:I141"/>
    <mergeCell ref="L140:L141"/>
    <mergeCell ref="F141:G141"/>
    <mergeCell ref="D142:D143"/>
    <mergeCell ref="L142:L143"/>
    <mergeCell ref="F142:G143"/>
    <mergeCell ref="H142:H143"/>
    <mergeCell ref="L144:L145"/>
    <mergeCell ref="I145:I146"/>
    <mergeCell ref="E145:E146"/>
    <mergeCell ref="F127:G127"/>
    <mergeCell ref="C128:C129"/>
    <mergeCell ref="F148:G148"/>
    <mergeCell ref="C149:C153"/>
    <mergeCell ref="F149:G149"/>
    <mergeCell ref="D150:D151"/>
    <mergeCell ref="F150:G150"/>
    <mergeCell ref="H150:H151"/>
    <mergeCell ref="F151:G151"/>
    <mergeCell ref="D152:D153"/>
    <mergeCell ref="F152:G152"/>
    <mergeCell ref="H152:H153"/>
    <mergeCell ref="F153:G153"/>
    <mergeCell ref="D128:D129"/>
    <mergeCell ref="F128:G128"/>
    <mergeCell ref="F145:G146"/>
    <mergeCell ref="H145:H146"/>
    <mergeCell ref="F144:G144"/>
    <mergeCell ref="F139:G139"/>
    <mergeCell ref="D140:D141"/>
    <mergeCell ref="F140:G140"/>
    <mergeCell ref="H140:H141"/>
    <mergeCell ref="F129:G129"/>
    <mergeCell ref="C130:D131"/>
    <mergeCell ref="B167:I168"/>
    <mergeCell ref="C145:C147"/>
    <mergeCell ref="D145:D147"/>
    <mergeCell ref="B136:B148"/>
    <mergeCell ref="C159:C161"/>
    <mergeCell ref="D159:D161"/>
    <mergeCell ref="F159:G160"/>
    <mergeCell ref="F161:G161"/>
    <mergeCell ref="H159:H160"/>
    <mergeCell ref="I159:I160"/>
    <mergeCell ref="F162:G162"/>
    <mergeCell ref="C154:C157"/>
    <mergeCell ref="F154:G154"/>
    <mergeCell ref="F155:G155"/>
    <mergeCell ref="D156:D157"/>
    <mergeCell ref="F156:G157"/>
    <mergeCell ref="H156:H157"/>
    <mergeCell ref="F163:G163"/>
    <mergeCell ref="F164:G164"/>
    <mergeCell ref="B165:D165"/>
    <mergeCell ref="F165:G165"/>
    <mergeCell ref="I156:I157"/>
    <mergeCell ref="F158:G158"/>
    <mergeCell ref="F147:G147"/>
  </mergeCells>
  <phoneticPr fontId="2"/>
  <hyperlinks>
    <hyperlink ref="I2" location="汚泥処理対策シート!A1" display="クリックで対策シートに戻る" xr:uid="{02CE7CF5-84F0-41B6-AC12-DBD25CB527B1}"/>
  </hyperlinks>
  <pageMargins left="0.70866141732283472" right="0.70866141732283472" top="0.74803149606299213" bottom="0.74803149606299213" header="0.31496062992125984" footer="0.31496062992125984"/>
  <pageSetup paperSize="9" scale="33"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04C20-EDC4-4379-A5CC-899F3A673D1A}">
  <sheetPr>
    <tabColor theme="5" tint="-0.499984740745262"/>
  </sheetPr>
  <dimension ref="B2:V128"/>
  <sheetViews>
    <sheetView zoomScale="80" zoomScaleNormal="80" zoomScaleSheetLayoutView="85" workbookViewId="0"/>
  </sheetViews>
  <sheetFormatPr defaultColWidth="9" defaultRowHeight="18" x14ac:dyDescent="0.45"/>
  <cols>
    <col min="1" max="1" width="1.59765625" style="148" customWidth="1"/>
    <col min="2" max="3" width="11" style="148" customWidth="1"/>
    <col min="4" max="4" width="19.19921875" style="148" bestFit="1" customWidth="1"/>
    <col min="5" max="5" width="38.3984375" style="148" customWidth="1"/>
    <col min="6" max="6" width="12.3984375" style="148" customWidth="1"/>
    <col min="7" max="7" width="27.59765625" style="148" customWidth="1"/>
    <col min="8" max="8" width="24.59765625" style="148" customWidth="1"/>
    <col min="9" max="9" width="22.5" style="148" bestFit="1" customWidth="1"/>
    <col min="10" max="10" width="37.69921875" style="148" bestFit="1" customWidth="1"/>
    <col min="11" max="11" width="3.59765625" style="148" customWidth="1"/>
    <col min="12" max="12" width="19.8984375" style="148" customWidth="1"/>
    <col min="13" max="13" width="12.19921875" style="148" bestFit="1" customWidth="1"/>
    <col min="14" max="16" width="1.59765625" style="148" customWidth="1"/>
    <col min="17" max="18" width="19.19921875" style="148" customWidth="1"/>
    <col min="19" max="19" width="8.59765625" style="148" customWidth="1"/>
    <col min="20" max="20" width="21.3984375" style="148" customWidth="1"/>
    <col min="21" max="21" width="13.09765625" style="148" bestFit="1" customWidth="1"/>
    <col min="22" max="16384" width="9" style="148"/>
  </cols>
  <sheetData>
    <row r="2" spans="3:10" customFormat="1" ht="22.2" x14ac:dyDescent="0.45">
      <c r="C2" s="28" t="s">
        <v>1487</v>
      </c>
      <c r="J2" s="242" t="s">
        <v>1151</v>
      </c>
    </row>
    <row r="3" spans="3:10" customFormat="1" x14ac:dyDescent="0.45">
      <c r="C3" s="32" t="s">
        <v>94</v>
      </c>
      <c r="D3" s="33"/>
      <c r="E3" s="33"/>
      <c r="F3" s="33"/>
      <c r="H3" s="18"/>
      <c r="I3" t="s">
        <v>79</v>
      </c>
    </row>
    <row r="4" spans="3:10" customFormat="1" x14ac:dyDescent="0.45">
      <c r="C4" s="309" t="s">
        <v>97</v>
      </c>
      <c r="D4" s="310"/>
      <c r="E4" s="310"/>
      <c r="F4" s="310"/>
      <c r="H4" s="7"/>
      <c r="I4" t="s">
        <v>80</v>
      </c>
    </row>
    <row r="5" spans="3:10" customFormat="1" x14ac:dyDescent="0.45">
      <c r="H5" s="378"/>
      <c r="I5" t="s">
        <v>1401</v>
      </c>
    </row>
    <row r="6" spans="3:10" customFormat="1" x14ac:dyDescent="0.45">
      <c r="H6" s="11"/>
      <c r="I6" t="s">
        <v>81</v>
      </c>
    </row>
    <row r="7" spans="3:10" customFormat="1" x14ac:dyDescent="0.45">
      <c r="C7" s="31" t="s">
        <v>1436</v>
      </c>
      <c r="D7" s="4"/>
      <c r="H7" s="157"/>
      <c r="I7" t="s">
        <v>510</v>
      </c>
    </row>
    <row r="8" spans="3:10" x14ac:dyDescent="0.45">
      <c r="C8" s="31" t="s">
        <v>1435</v>
      </c>
      <c r="I8" s="31" t="s">
        <v>880</v>
      </c>
      <c r="J8" s="31"/>
    </row>
    <row r="9" spans="3:10" x14ac:dyDescent="0.45">
      <c r="C9" s="31" t="s">
        <v>1434</v>
      </c>
      <c r="I9" s="31"/>
      <c r="J9" s="31"/>
    </row>
    <row r="10" spans="3:10" x14ac:dyDescent="0.45">
      <c r="C10" s="31"/>
      <c r="J10" s="31"/>
    </row>
    <row r="11" spans="3:10" x14ac:dyDescent="0.45">
      <c r="C11" s="31" t="s">
        <v>513</v>
      </c>
      <c r="J11" s="31"/>
    </row>
    <row r="29" spans="3:22" ht="32.4" x14ac:dyDescent="0.45">
      <c r="C29" s="88" t="s">
        <v>230</v>
      </c>
      <c r="E29" s="89"/>
    </row>
    <row r="30" spans="3:22" x14ac:dyDescent="0.45">
      <c r="C30" s="465" t="s">
        <v>763</v>
      </c>
      <c r="D30" s="465"/>
      <c r="E30" s="152"/>
      <c r="I30" s="96"/>
      <c r="J30" s="96"/>
    </row>
    <row r="31" spans="3:22" x14ac:dyDescent="0.45">
      <c r="C31" s="465" t="s">
        <v>764</v>
      </c>
      <c r="D31" s="465"/>
      <c r="E31" s="152"/>
      <c r="G31" s="99"/>
      <c r="H31" s="96"/>
      <c r="I31" s="96"/>
      <c r="J31" s="96"/>
      <c r="Q31" s="16"/>
      <c r="R31" s="513" t="s">
        <v>526</v>
      </c>
      <c r="S31" s="515"/>
      <c r="T31" s="513" t="s">
        <v>527</v>
      </c>
      <c r="U31" s="515"/>
    </row>
    <row r="32" spans="3:22" ht="19.8" x14ac:dyDescent="0.45">
      <c r="C32" s="465" t="s">
        <v>765</v>
      </c>
      <c r="D32" s="465"/>
      <c r="E32" s="152"/>
      <c r="G32" s="99"/>
      <c r="H32" s="96"/>
      <c r="I32" s="98"/>
      <c r="J32" s="98"/>
      <c r="Q32" s="16" t="s">
        <v>244</v>
      </c>
      <c r="R32" s="391">
        <v>44.8</v>
      </c>
      <c r="S32" s="16" t="s">
        <v>245</v>
      </c>
      <c r="T32" s="389">
        <v>2.23</v>
      </c>
      <c r="U32" s="94" t="s">
        <v>246</v>
      </c>
      <c r="V32" s="160"/>
    </row>
    <row r="33" spans="3:21" ht="19.8" x14ac:dyDescent="0.45">
      <c r="C33" s="465" t="s">
        <v>1402</v>
      </c>
      <c r="D33" s="465"/>
      <c r="E33" s="152"/>
      <c r="G33" s="419" t="s">
        <v>239</v>
      </c>
      <c r="H33" s="440"/>
      <c r="Q33" s="16" t="s">
        <v>250</v>
      </c>
      <c r="R33" s="391">
        <v>0</v>
      </c>
      <c r="S33" s="16" t="s">
        <v>245</v>
      </c>
      <c r="T33" s="390">
        <v>0</v>
      </c>
      <c r="U33" s="142" t="s">
        <v>251</v>
      </c>
    </row>
    <row r="34" spans="3:21" ht="19.8" x14ac:dyDescent="0.45">
      <c r="C34" s="465" t="s">
        <v>766</v>
      </c>
      <c r="D34" s="465"/>
      <c r="E34" s="152"/>
      <c r="G34" s="156" t="s">
        <v>258</v>
      </c>
      <c r="H34" s="441"/>
      <c r="I34" s="100" t="s">
        <v>259</v>
      </c>
      <c r="J34" s="198" t="s">
        <v>767</v>
      </c>
      <c r="K34" s="751" t="str">
        <f>IF($H$34="","",VLOOKUP($H$34,$Q$32:$S$35,2,FALSE))</f>
        <v/>
      </c>
      <c r="L34" s="752" t="str">
        <f>IF($H$34="","",VLOOKUP(K35,$Q$32:$S$34,2,FALSE))</f>
        <v/>
      </c>
      <c r="M34" s="199" t="str">
        <f>IF($H$34="","",VLOOKUP($H$34,$Q$32:$S$35,3,FALSE))</f>
        <v/>
      </c>
      <c r="P34" s="102"/>
      <c r="Q34" s="16" t="s">
        <v>253</v>
      </c>
      <c r="R34" s="391">
        <v>36.700000000000003</v>
      </c>
      <c r="S34" s="16" t="s">
        <v>254</v>
      </c>
      <c r="T34" s="390">
        <v>2.4900000000000002</v>
      </c>
      <c r="U34" s="142" t="s">
        <v>255</v>
      </c>
    </row>
    <row r="35" spans="3:21" ht="19.8" x14ac:dyDescent="0.45">
      <c r="C35" s="465" t="s">
        <v>768</v>
      </c>
      <c r="D35" s="465"/>
      <c r="E35" s="439">
        <v>2500</v>
      </c>
      <c r="G35" s="156" t="s">
        <v>769</v>
      </c>
      <c r="H35" s="441"/>
      <c r="I35" s="101"/>
      <c r="J35" s="198" t="s">
        <v>770</v>
      </c>
      <c r="K35" s="428" t="str">
        <f>IF($H$34="","",VLOOKUP($H$34,$Q$32:$U$35,4,FALSE))</f>
        <v/>
      </c>
      <c r="L35" s="429" t="str">
        <f>IF($H$34="","",VLOOKUP(K34,$Q$32:$U$34,4,FALSE))</f>
        <v/>
      </c>
      <c r="M35" s="199" t="str">
        <f>IF($H$34="","",VLOOKUP($H$34,$Q$32:$U$35,5,FALSE))</f>
        <v/>
      </c>
      <c r="Q35" s="16" t="s">
        <v>261</v>
      </c>
      <c r="R35" s="391">
        <v>39.1</v>
      </c>
      <c r="S35" s="16" t="s">
        <v>254</v>
      </c>
      <c r="T35" s="390">
        <v>2.71</v>
      </c>
      <c r="U35" s="142" t="s">
        <v>255</v>
      </c>
    </row>
    <row r="36" spans="3:21" x14ac:dyDescent="0.45">
      <c r="C36" s="448" t="s">
        <v>1514</v>
      </c>
      <c r="G36" s="138" t="s">
        <v>771</v>
      </c>
      <c r="H36" s="201"/>
      <c r="I36" s="138"/>
      <c r="J36" s="138"/>
      <c r="Q36" s="16" t="s">
        <v>399</v>
      </c>
      <c r="R36" s="391"/>
      <c r="S36" s="16"/>
      <c r="T36" s="391">
        <v>0.25</v>
      </c>
      <c r="U36" s="16" t="s">
        <v>1431</v>
      </c>
    </row>
    <row r="37" spans="3:21" x14ac:dyDescent="0.45">
      <c r="G37" s="102"/>
    </row>
    <row r="38" spans="3:21" ht="32.4" hidden="1" x14ac:dyDescent="0.45">
      <c r="C38" s="88" t="s">
        <v>772</v>
      </c>
      <c r="P38" s="88"/>
    </row>
    <row r="39" spans="3:21" hidden="1" x14ac:dyDescent="0.45">
      <c r="C39" s="16" t="s">
        <v>276</v>
      </c>
      <c r="D39" s="16" t="s">
        <v>277</v>
      </c>
      <c r="E39" s="16" t="s">
        <v>27</v>
      </c>
      <c r="F39" s="16" t="s">
        <v>29</v>
      </c>
      <c r="G39" s="513" t="s">
        <v>278</v>
      </c>
      <c r="H39" s="515"/>
      <c r="I39" s="16" t="s">
        <v>536</v>
      </c>
      <c r="J39" s="16" t="s">
        <v>280</v>
      </c>
    </row>
    <row r="40" spans="3:21" ht="39" hidden="1" customHeight="1" x14ac:dyDescent="0.45">
      <c r="C40" s="624" t="s">
        <v>131</v>
      </c>
      <c r="D40" s="624" t="s">
        <v>295</v>
      </c>
      <c r="E40" s="111" t="s">
        <v>773</v>
      </c>
      <c r="F40" s="16" t="s">
        <v>283</v>
      </c>
      <c r="G40" s="513" t="s">
        <v>774</v>
      </c>
      <c r="H40" s="515"/>
      <c r="I40" s="34">
        <f>2.426*E30^0.0094*100</f>
        <v>0</v>
      </c>
      <c r="J40" s="1" t="s">
        <v>775</v>
      </c>
      <c r="R40" s="109"/>
    </row>
    <row r="41" spans="3:21" ht="19.5" hidden="1" customHeight="1" x14ac:dyDescent="0.45">
      <c r="C41" s="646"/>
      <c r="D41" s="646"/>
      <c r="E41" s="10" t="s">
        <v>286</v>
      </c>
      <c r="F41" s="16" t="s">
        <v>283</v>
      </c>
      <c r="G41" s="513" t="s">
        <v>776</v>
      </c>
      <c r="H41" s="515"/>
      <c r="I41" s="34">
        <f>1.888*E30^0.597*100</f>
        <v>0</v>
      </c>
      <c r="J41" s="1" t="s">
        <v>777</v>
      </c>
      <c r="P41" s="653"/>
      <c r="R41" s="109"/>
      <c r="S41" s="651"/>
    </row>
    <row r="42" spans="3:21" ht="19.5" hidden="1" customHeight="1" x14ac:dyDescent="0.45">
      <c r="C42" s="646"/>
      <c r="D42" s="646"/>
      <c r="E42" s="10" t="s">
        <v>778</v>
      </c>
      <c r="F42" s="16" t="s">
        <v>283</v>
      </c>
      <c r="G42" s="513" t="s">
        <v>779</v>
      </c>
      <c r="H42" s="515"/>
      <c r="I42" s="34">
        <f>0.726*E30^0.539*100</f>
        <v>0</v>
      </c>
      <c r="J42" s="1" t="s">
        <v>701</v>
      </c>
      <c r="P42" s="653"/>
      <c r="R42" s="109"/>
      <c r="S42" s="651"/>
    </row>
    <row r="43" spans="3:21" ht="19.5" hidden="1" customHeight="1" x14ac:dyDescent="0.45">
      <c r="C43" s="646"/>
      <c r="D43" s="646"/>
      <c r="E43" s="16" t="s">
        <v>308</v>
      </c>
      <c r="F43" s="16" t="s">
        <v>283</v>
      </c>
      <c r="G43" s="513" t="s">
        <v>42</v>
      </c>
      <c r="H43" s="515"/>
      <c r="I43" s="34">
        <f>+I40+I41+I42</f>
        <v>0</v>
      </c>
      <c r="J43" s="1" t="s">
        <v>780</v>
      </c>
      <c r="P43" s="653"/>
      <c r="R43" s="109"/>
    </row>
    <row r="44" spans="3:21" ht="19.5" hidden="1" customHeight="1" x14ac:dyDescent="0.45">
      <c r="C44" s="646"/>
      <c r="D44" s="646"/>
      <c r="E44" s="518" t="s">
        <v>310</v>
      </c>
      <c r="F44" s="518" t="s">
        <v>292</v>
      </c>
      <c r="G44" s="636" t="s">
        <v>311</v>
      </c>
      <c r="H44" s="637"/>
      <c r="I44" s="737">
        <f>I40*M44/100*(1+M44/100)^M47/((1+M44/100)^M47-1)+I41*M44/100*(1+M44/100)^M48/((1+M44/100)^M48-1)+I42*M44/100*(1+M44/100)^M50/((1+M44/100)^M50-1)</f>
        <v>0</v>
      </c>
      <c r="J44" s="644" t="s">
        <v>781</v>
      </c>
      <c r="L44" s="16" t="s">
        <v>313</v>
      </c>
      <c r="M44" s="91">
        <v>2.2999999999999998</v>
      </c>
      <c r="P44" s="653"/>
      <c r="Q44" s="653"/>
      <c r="R44" s="116"/>
    </row>
    <row r="45" spans="3:21" ht="19.5" hidden="1" customHeight="1" x14ac:dyDescent="0.45">
      <c r="C45" s="646"/>
      <c r="D45" s="646"/>
      <c r="E45" s="517"/>
      <c r="F45" s="517"/>
      <c r="G45" s="638"/>
      <c r="H45" s="639"/>
      <c r="I45" s="738"/>
      <c r="J45" s="645"/>
      <c r="L45" s="168"/>
      <c r="R45" s="116"/>
    </row>
    <row r="46" spans="3:21" ht="19.5" hidden="1" customHeight="1" x14ac:dyDescent="0.45">
      <c r="C46" s="646"/>
      <c r="D46" s="646"/>
      <c r="E46" s="644" t="s">
        <v>556</v>
      </c>
      <c r="F46" s="518" t="s">
        <v>292</v>
      </c>
      <c r="G46" s="753" t="s">
        <v>782</v>
      </c>
      <c r="H46" s="754"/>
      <c r="I46" s="722">
        <f>0.287*E32^0.673</f>
        <v>0</v>
      </c>
      <c r="J46" s="624" t="s">
        <v>783</v>
      </c>
      <c r="L46" s="521" t="s">
        <v>314</v>
      </c>
      <c r="M46" s="521"/>
      <c r="R46" s="116"/>
    </row>
    <row r="47" spans="3:21" ht="19.5" hidden="1" customHeight="1" x14ac:dyDescent="0.45">
      <c r="C47" s="646"/>
      <c r="D47" s="646"/>
      <c r="E47" s="645"/>
      <c r="F47" s="517"/>
      <c r="G47" s="755"/>
      <c r="H47" s="756"/>
      <c r="I47" s="723"/>
      <c r="J47" s="625"/>
      <c r="L47" s="16" t="s">
        <v>317</v>
      </c>
      <c r="M47" s="91">
        <v>45</v>
      </c>
    </row>
    <row r="48" spans="3:21" ht="9.75" hidden="1" customHeight="1" x14ac:dyDescent="0.45">
      <c r="C48" s="646"/>
      <c r="D48" s="646"/>
      <c r="E48" s="759" t="s">
        <v>323</v>
      </c>
      <c r="F48" s="518" t="s">
        <v>292</v>
      </c>
      <c r="G48" s="630" t="s">
        <v>42</v>
      </c>
      <c r="H48" s="631"/>
      <c r="I48" s="722">
        <f>+I44+I46</f>
        <v>0</v>
      </c>
      <c r="J48" s="624" t="s">
        <v>784</v>
      </c>
      <c r="L48" s="518" t="s">
        <v>785</v>
      </c>
      <c r="M48" s="757">
        <v>15</v>
      </c>
    </row>
    <row r="49" spans="3:18" ht="9.75" hidden="1" customHeight="1" x14ac:dyDescent="0.45">
      <c r="C49" s="625"/>
      <c r="D49" s="625"/>
      <c r="E49" s="760"/>
      <c r="F49" s="517"/>
      <c r="G49" s="632"/>
      <c r="H49" s="633"/>
      <c r="I49" s="723"/>
      <c r="J49" s="625"/>
      <c r="L49" s="517"/>
      <c r="M49" s="758"/>
      <c r="P49" s="88"/>
    </row>
    <row r="50" spans="3:18" ht="19.5" hidden="1" customHeight="1" x14ac:dyDescent="0.45">
      <c r="C50" s="624" t="s">
        <v>326</v>
      </c>
      <c r="D50" s="529" t="s">
        <v>786</v>
      </c>
      <c r="E50" s="10" t="s">
        <v>787</v>
      </c>
      <c r="F50" s="16" t="s">
        <v>283</v>
      </c>
      <c r="G50" s="647" t="s">
        <v>788</v>
      </c>
      <c r="H50" s="648"/>
      <c r="I50" s="158">
        <f>0.134*E31+6.58</f>
        <v>6.58</v>
      </c>
      <c r="J50" s="1" t="s">
        <v>789</v>
      </c>
      <c r="L50" s="16" t="s">
        <v>325</v>
      </c>
      <c r="M50" s="91">
        <v>15</v>
      </c>
    </row>
    <row r="51" spans="3:18" ht="19.5" hidden="1" customHeight="1" x14ac:dyDescent="0.45">
      <c r="C51" s="646"/>
      <c r="D51" s="529"/>
      <c r="E51" s="10" t="s">
        <v>371</v>
      </c>
      <c r="F51" s="16" t="s">
        <v>283</v>
      </c>
      <c r="G51" s="647" t="s">
        <v>790</v>
      </c>
      <c r="H51" s="648"/>
      <c r="I51" s="34">
        <f>2.42*E31+340</f>
        <v>340</v>
      </c>
      <c r="J51" s="1" t="s">
        <v>791</v>
      </c>
      <c r="R51" s="109"/>
    </row>
    <row r="52" spans="3:18" ht="19.5" hidden="1" customHeight="1" x14ac:dyDescent="0.45">
      <c r="C52" s="646"/>
      <c r="D52" s="529"/>
      <c r="E52" s="10" t="s">
        <v>792</v>
      </c>
      <c r="F52" s="16" t="s">
        <v>283</v>
      </c>
      <c r="G52" s="647" t="s">
        <v>793</v>
      </c>
      <c r="H52" s="648"/>
      <c r="I52" s="202">
        <f>0.0142*E31+0.791</f>
        <v>0.79100000000000004</v>
      </c>
      <c r="J52" s="1" t="s">
        <v>794</v>
      </c>
      <c r="R52" s="109"/>
    </row>
    <row r="53" spans="3:18" ht="19.5" hidden="1" customHeight="1" x14ac:dyDescent="0.45">
      <c r="C53" s="646"/>
      <c r="D53" s="529"/>
      <c r="E53" s="10" t="s">
        <v>325</v>
      </c>
      <c r="F53" s="16" t="s">
        <v>283</v>
      </c>
      <c r="G53" s="647" t="s">
        <v>795</v>
      </c>
      <c r="H53" s="648"/>
      <c r="I53" s="34">
        <f>0.311*E31+53.3</f>
        <v>53.3</v>
      </c>
      <c r="J53" s="1" t="s">
        <v>796</v>
      </c>
      <c r="P53" s="653"/>
      <c r="Q53" s="653"/>
      <c r="R53" s="116"/>
    </row>
    <row r="54" spans="3:18" ht="19.5" hidden="1" customHeight="1" x14ac:dyDescent="0.45">
      <c r="C54" s="646"/>
      <c r="D54" s="529"/>
      <c r="E54" s="16" t="s">
        <v>308</v>
      </c>
      <c r="F54" s="16" t="s">
        <v>283</v>
      </c>
      <c r="G54" s="513" t="s">
        <v>42</v>
      </c>
      <c r="H54" s="515"/>
      <c r="I54" s="34">
        <f>+I50+I51+I52+I53</f>
        <v>400.67099999999999</v>
      </c>
      <c r="J54" s="1" t="s">
        <v>797</v>
      </c>
      <c r="P54" s="653"/>
      <c r="Q54" s="653"/>
      <c r="R54" s="109"/>
    </row>
    <row r="55" spans="3:18" ht="19.5" hidden="1" customHeight="1" x14ac:dyDescent="0.45">
      <c r="C55" s="646"/>
      <c r="D55" s="529"/>
      <c r="E55" s="518" t="s">
        <v>310</v>
      </c>
      <c r="F55" s="518" t="s">
        <v>292</v>
      </c>
      <c r="G55" s="630" t="s">
        <v>382</v>
      </c>
      <c r="H55" s="631"/>
      <c r="I55" s="761">
        <f>I50*M55/100*(1+M55/100)^M58/((1+M55/100)^M58-1)+I51*M55/100*(1+M55/100)^M59/((1+M55/100)^M59-1)+I52*M55/100*(1+M55/100)^M60/((1+M55/100)^M60-1)+I53*M55/100*(1+M55/100)^M62/((1+M55/100)^M62-1)</f>
        <v>31.599166920115586</v>
      </c>
      <c r="J55" s="644" t="s">
        <v>798</v>
      </c>
      <c r="L55" s="16" t="s">
        <v>313</v>
      </c>
      <c r="M55" s="91">
        <v>2.2999999999999998</v>
      </c>
      <c r="R55" s="109"/>
    </row>
    <row r="56" spans="3:18" ht="19.5" hidden="1" customHeight="1" x14ac:dyDescent="0.45">
      <c r="C56" s="646"/>
      <c r="D56" s="529"/>
      <c r="E56" s="517"/>
      <c r="F56" s="517"/>
      <c r="G56" s="632"/>
      <c r="H56" s="633"/>
      <c r="I56" s="762"/>
      <c r="J56" s="645"/>
      <c r="L56" s="168"/>
      <c r="P56" s="653"/>
      <c r="Q56" s="653"/>
      <c r="R56" s="127"/>
    </row>
    <row r="57" spans="3:18" ht="19.5" hidden="1" customHeight="1" x14ac:dyDescent="0.45">
      <c r="C57" s="646"/>
      <c r="D57" s="529"/>
      <c r="E57" s="624" t="s">
        <v>592</v>
      </c>
      <c r="F57" s="516" t="s">
        <v>799</v>
      </c>
      <c r="G57" s="753" t="s">
        <v>800</v>
      </c>
      <c r="H57" s="754"/>
      <c r="I57" s="761">
        <f>0.1186*E30+65.1</f>
        <v>65.099999999999994</v>
      </c>
      <c r="J57" s="624" t="s">
        <v>801</v>
      </c>
      <c r="L57" s="521" t="s">
        <v>314</v>
      </c>
      <c r="M57" s="521"/>
      <c r="R57" s="127"/>
    </row>
    <row r="58" spans="3:18" ht="19.5" hidden="1" customHeight="1" x14ac:dyDescent="0.45">
      <c r="C58" s="646"/>
      <c r="D58" s="529"/>
      <c r="E58" s="646"/>
      <c r="F58" s="522"/>
      <c r="G58" s="755"/>
      <c r="H58" s="756"/>
      <c r="I58" s="762"/>
      <c r="J58" s="625"/>
      <c r="L58" s="16" t="s">
        <v>787</v>
      </c>
      <c r="M58" s="91">
        <v>45</v>
      </c>
      <c r="P58" s="653"/>
      <c r="Q58" s="653"/>
      <c r="R58" s="116"/>
    </row>
    <row r="59" spans="3:18" ht="19.5" hidden="1" customHeight="1" x14ac:dyDescent="0.45">
      <c r="C59" s="646"/>
      <c r="D59" s="529"/>
      <c r="E59" s="646"/>
      <c r="F59" s="518" t="s">
        <v>292</v>
      </c>
      <c r="G59" s="618" t="s">
        <v>802</v>
      </c>
      <c r="H59" s="619"/>
      <c r="I59" s="763">
        <f>I57*M65*24*15*10^-6</f>
        <v>0</v>
      </c>
      <c r="J59" s="624" t="s">
        <v>387</v>
      </c>
      <c r="L59" s="16" t="s">
        <v>371</v>
      </c>
      <c r="M59" s="91">
        <v>15</v>
      </c>
      <c r="R59" s="116"/>
    </row>
    <row r="60" spans="3:18" ht="19.5" hidden="1" customHeight="1" x14ac:dyDescent="0.45">
      <c r="C60" s="646"/>
      <c r="D60" s="529"/>
      <c r="E60" s="625"/>
      <c r="F60" s="517"/>
      <c r="G60" s="620"/>
      <c r="H60" s="621"/>
      <c r="I60" s="764"/>
      <c r="J60" s="625"/>
      <c r="L60" s="516" t="s">
        <v>803</v>
      </c>
      <c r="M60" s="757">
        <v>15</v>
      </c>
      <c r="R60" s="116"/>
    </row>
    <row r="61" spans="3:18" ht="19.5" hidden="1" customHeight="1" x14ac:dyDescent="0.45">
      <c r="C61" s="646"/>
      <c r="D61" s="529"/>
      <c r="E61" s="646" t="s">
        <v>616</v>
      </c>
      <c r="F61" s="516" t="s">
        <v>804</v>
      </c>
      <c r="G61" s="770" t="s">
        <v>805</v>
      </c>
      <c r="H61" s="771"/>
      <c r="I61" s="776" t="e">
        <f>(E31*10^3*1/24*(1-E33)*E34-E35*E31*10^3*1/24*E33)*10^-6+(H35*K34*10^-3)</f>
        <v>#VALUE!</v>
      </c>
      <c r="J61" s="779" t="s">
        <v>806</v>
      </c>
      <c r="L61" s="522"/>
      <c r="M61" s="758"/>
      <c r="R61" s="116"/>
    </row>
    <row r="62" spans="3:18" ht="19.5" hidden="1" customHeight="1" x14ac:dyDescent="0.45">
      <c r="C62" s="646"/>
      <c r="D62" s="529"/>
      <c r="E62" s="646"/>
      <c r="F62" s="769"/>
      <c r="G62" s="772"/>
      <c r="H62" s="773"/>
      <c r="I62" s="777"/>
      <c r="J62" s="780"/>
      <c r="L62" s="17" t="s">
        <v>325</v>
      </c>
      <c r="M62" s="91">
        <v>15</v>
      </c>
      <c r="R62" s="116"/>
    </row>
    <row r="63" spans="3:18" ht="56.25" hidden="1" customHeight="1" x14ac:dyDescent="0.45">
      <c r="C63" s="646"/>
      <c r="D63" s="529"/>
      <c r="E63" s="646"/>
      <c r="F63" s="522"/>
      <c r="G63" s="774"/>
      <c r="H63" s="775"/>
      <c r="I63" s="778"/>
      <c r="J63" s="781"/>
      <c r="L63" s="104"/>
      <c r="M63" s="104"/>
      <c r="R63" s="116"/>
    </row>
    <row r="64" spans="3:18" ht="39" hidden="1" customHeight="1" x14ac:dyDescent="0.45">
      <c r="C64" s="646"/>
      <c r="D64" s="529"/>
      <c r="E64" s="646"/>
      <c r="F64" s="17" t="s">
        <v>807</v>
      </c>
      <c r="G64" s="647" t="s">
        <v>808</v>
      </c>
      <c r="H64" s="648"/>
      <c r="I64" s="34" t="e">
        <f>33.1*I61-102</f>
        <v>#VALUE!</v>
      </c>
      <c r="J64" s="1"/>
      <c r="P64" s="88"/>
    </row>
    <row r="65" spans="3:17" ht="19.5" hidden="1" customHeight="1" x14ac:dyDescent="0.45">
      <c r="C65" s="646"/>
      <c r="D65" s="529"/>
      <c r="E65" s="646"/>
      <c r="F65" s="516" t="s">
        <v>809</v>
      </c>
      <c r="G65" s="753" t="s">
        <v>810</v>
      </c>
      <c r="H65" s="754"/>
      <c r="I65" s="722" t="e">
        <f>I64*M65*24*10^-3</f>
        <v>#VALUE!</v>
      </c>
      <c r="J65" s="714" t="s">
        <v>811</v>
      </c>
      <c r="L65" s="203" t="s">
        <v>519</v>
      </c>
      <c r="M65" s="16">
        <f>H33</f>
        <v>0</v>
      </c>
      <c r="P65" s="88"/>
    </row>
    <row r="66" spans="3:17" ht="19.5" hidden="1" customHeight="1" x14ac:dyDescent="0.45">
      <c r="C66" s="646"/>
      <c r="D66" s="529"/>
      <c r="E66" s="646"/>
      <c r="F66" s="522"/>
      <c r="G66" s="755"/>
      <c r="H66" s="756"/>
      <c r="I66" s="723"/>
      <c r="J66" s="782"/>
      <c r="L66" s="104"/>
      <c r="M66" s="104"/>
      <c r="P66" s="653"/>
      <c r="Q66" s="653"/>
    </row>
    <row r="67" spans="3:17" ht="19.5" hidden="1" customHeight="1" x14ac:dyDescent="0.45">
      <c r="C67" s="646"/>
      <c r="D67" s="529"/>
      <c r="E67" s="646"/>
      <c r="F67" s="518" t="s">
        <v>292</v>
      </c>
      <c r="G67" s="753" t="s">
        <v>812</v>
      </c>
      <c r="H67" s="754"/>
      <c r="I67" s="767" t="e">
        <f>-I65*M67*10^-3</f>
        <v>#VALUE!</v>
      </c>
      <c r="J67" s="624" t="s">
        <v>390</v>
      </c>
      <c r="L67" s="203" t="s">
        <v>813</v>
      </c>
      <c r="M67" s="16">
        <f>H31</f>
        <v>0</v>
      </c>
    </row>
    <row r="68" spans="3:17" ht="19.5" hidden="1" customHeight="1" x14ac:dyDescent="0.45">
      <c r="C68" s="646"/>
      <c r="D68" s="529"/>
      <c r="E68" s="625"/>
      <c r="F68" s="517"/>
      <c r="G68" s="755"/>
      <c r="H68" s="756"/>
      <c r="I68" s="768"/>
      <c r="J68" s="625"/>
      <c r="P68" s="653"/>
      <c r="Q68" s="653"/>
    </row>
    <row r="69" spans="3:17" ht="39" hidden="1" customHeight="1" x14ac:dyDescent="0.45">
      <c r="C69" s="646"/>
      <c r="D69" s="529"/>
      <c r="E69" s="624" t="s">
        <v>628</v>
      </c>
      <c r="F69" s="17" t="s">
        <v>814</v>
      </c>
      <c r="G69" s="647" t="s">
        <v>815</v>
      </c>
      <c r="H69" s="648"/>
      <c r="I69" s="202">
        <f>0.015*E30+0.737</f>
        <v>0.73699999999999999</v>
      </c>
      <c r="J69" s="1" t="s">
        <v>801</v>
      </c>
      <c r="P69" s="653"/>
      <c r="Q69" s="653"/>
    </row>
    <row r="70" spans="3:17" ht="19.5" hidden="1" customHeight="1" x14ac:dyDescent="0.45">
      <c r="C70" s="646"/>
      <c r="D70" s="529"/>
      <c r="E70" s="646"/>
      <c r="F70" s="518" t="s">
        <v>292</v>
      </c>
      <c r="G70" s="636" t="s">
        <v>816</v>
      </c>
      <c r="H70" s="637"/>
      <c r="I70" s="765">
        <f>I69*M71*M70*24*10^-6</f>
        <v>0</v>
      </c>
      <c r="J70" s="624" t="s">
        <v>685</v>
      </c>
      <c r="L70" s="203" t="s">
        <v>519</v>
      </c>
      <c r="M70" s="16">
        <f>H33</f>
        <v>0</v>
      </c>
    </row>
    <row r="71" spans="3:17" ht="19.5" hidden="1" customHeight="1" x14ac:dyDescent="0.45">
      <c r="C71" s="646"/>
      <c r="D71" s="529"/>
      <c r="E71" s="625"/>
      <c r="F71" s="517"/>
      <c r="G71" s="638"/>
      <c r="H71" s="639"/>
      <c r="I71" s="766"/>
      <c r="J71" s="625"/>
      <c r="L71" s="16" t="s">
        <v>817</v>
      </c>
      <c r="M71" s="16">
        <f>H32</f>
        <v>0</v>
      </c>
      <c r="P71" s="653"/>
      <c r="Q71" s="653"/>
    </row>
    <row r="72" spans="3:17" ht="39" hidden="1" customHeight="1" x14ac:dyDescent="0.45">
      <c r="C72" s="646"/>
      <c r="D72" s="529"/>
      <c r="E72" s="624" t="s">
        <v>818</v>
      </c>
      <c r="F72" s="17" t="s">
        <v>819</v>
      </c>
      <c r="G72" s="513" t="s">
        <v>820</v>
      </c>
      <c r="H72" s="515"/>
      <c r="I72" s="202">
        <f>0.0274*E30+1.35</f>
        <v>1.35</v>
      </c>
      <c r="J72" s="1" t="s">
        <v>801</v>
      </c>
      <c r="P72" s="653"/>
      <c r="Q72" s="653"/>
    </row>
    <row r="73" spans="3:17" ht="19.5" hidden="1" customHeight="1" x14ac:dyDescent="0.45">
      <c r="C73" s="646"/>
      <c r="D73" s="529"/>
      <c r="E73" s="646"/>
      <c r="F73" s="518" t="s">
        <v>292</v>
      </c>
      <c r="G73" s="636" t="s">
        <v>821</v>
      </c>
      <c r="H73" s="637"/>
      <c r="I73" s="765" t="e">
        <f>I72*M74*M73*10^-6</f>
        <v>#REF!</v>
      </c>
      <c r="J73" s="624" t="s">
        <v>738</v>
      </c>
      <c r="L73" s="203" t="s">
        <v>519</v>
      </c>
      <c r="M73" s="16">
        <f>H33</f>
        <v>0</v>
      </c>
    </row>
    <row r="74" spans="3:17" ht="19.5" hidden="1" customHeight="1" x14ac:dyDescent="0.45">
      <c r="C74" s="646"/>
      <c r="D74" s="529"/>
      <c r="E74" s="625"/>
      <c r="F74" s="517"/>
      <c r="G74" s="638"/>
      <c r="H74" s="639"/>
      <c r="I74" s="766"/>
      <c r="J74" s="625"/>
      <c r="L74" s="16" t="s">
        <v>822</v>
      </c>
      <c r="M74" s="16" t="e">
        <f>#REF!</f>
        <v>#REF!</v>
      </c>
      <c r="P74" s="653"/>
      <c r="Q74" s="653"/>
    </row>
    <row r="75" spans="3:17" ht="19.5" hidden="1" customHeight="1" x14ac:dyDescent="0.45">
      <c r="C75" s="646"/>
      <c r="D75" s="529"/>
      <c r="E75" s="10" t="s">
        <v>638</v>
      </c>
      <c r="F75" s="16" t="s">
        <v>292</v>
      </c>
      <c r="G75" s="513" t="s">
        <v>639</v>
      </c>
      <c r="H75" s="515"/>
      <c r="I75" s="158">
        <v>18</v>
      </c>
      <c r="J75" s="1" t="s">
        <v>823</v>
      </c>
    </row>
    <row r="76" spans="3:17" ht="19.5" hidden="1" customHeight="1" x14ac:dyDescent="0.45">
      <c r="C76" s="646"/>
      <c r="D76" s="529"/>
      <c r="E76" s="16" t="s">
        <v>643</v>
      </c>
      <c r="F76" s="16" t="s">
        <v>292</v>
      </c>
      <c r="G76" s="513" t="s">
        <v>42</v>
      </c>
      <c r="H76" s="515"/>
      <c r="I76" s="158" t="e">
        <f>+I59+I67+I70+I73+I75</f>
        <v>#VALUE!</v>
      </c>
      <c r="J76" s="1" t="s">
        <v>824</v>
      </c>
    </row>
    <row r="77" spans="3:17" ht="39" hidden="1" customHeight="1" x14ac:dyDescent="0.45">
      <c r="C77" s="646"/>
      <c r="D77" s="529"/>
      <c r="E77" s="111" t="s">
        <v>825</v>
      </c>
      <c r="F77" s="16" t="s">
        <v>292</v>
      </c>
      <c r="G77" s="513" t="s">
        <v>826</v>
      </c>
      <c r="H77" s="515"/>
      <c r="I77" s="202">
        <f>-0.131*E31^0.7</f>
        <v>0</v>
      </c>
      <c r="J77" s="1" t="s">
        <v>827</v>
      </c>
    </row>
    <row r="78" spans="3:17" ht="39" hidden="1" customHeight="1" x14ac:dyDescent="0.45">
      <c r="C78" s="646"/>
      <c r="D78" s="529"/>
      <c r="E78" s="111" t="s">
        <v>828</v>
      </c>
      <c r="F78" s="16" t="s">
        <v>292</v>
      </c>
      <c r="G78" s="513" t="s">
        <v>829</v>
      </c>
      <c r="H78" s="515"/>
      <c r="I78" s="158">
        <f>-0.998*E31^0.7</f>
        <v>0</v>
      </c>
      <c r="J78" s="1" t="s">
        <v>830</v>
      </c>
    </row>
    <row r="79" spans="3:17" ht="19.5" hidden="1" customHeight="1" x14ac:dyDescent="0.45">
      <c r="C79" s="646"/>
      <c r="D79" s="529"/>
      <c r="E79" s="644" t="s">
        <v>831</v>
      </c>
      <c r="F79" s="516" t="s">
        <v>832</v>
      </c>
      <c r="G79" s="630" t="s">
        <v>833</v>
      </c>
      <c r="H79" s="631"/>
      <c r="I79" s="722">
        <f>(0.213*E31+10.5)*M79*24</f>
        <v>0</v>
      </c>
      <c r="J79" s="624" t="s">
        <v>834</v>
      </c>
      <c r="L79" s="203" t="s">
        <v>835</v>
      </c>
      <c r="M79" s="16">
        <f>H33</f>
        <v>0</v>
      </c>
    </row>
    <row r="80" spans="3:17" ht="19.5" hidden="1" customHeight="1" x14ac:dyDescent="0.45">
      <c r="C80" s="646"/>
      <c r="D80" s="529"/>
      <c r="E80" s="739"/>
      <c r="F80" s="522"/>
      <c r="G80" s="632"/>
      <c r="H80" s="633"/>
      <c r="I80" s="723"/>
      <c r="J80" s="625"/>
      <c r="L80" s="104"/>
      <c r="M80" s="104"/>
    </row>
    <row r="81" spans="3:13" ht="19.5" hidden="1" customHeight="1" x14ac:dyDescent="0.45">
      <c r="C81" s="646"/>
      <c r="D81" s="529"/>
      <c r="E81" s="739"/>
      <c r="F81" s="518" t="s">
        <v>292</v>
      </c>
      <c r="G81" s="630" t="s">
        <v>836</v>
      </c>
      <c r="H81" s="631"/>
      <c r="I81" s="763">
        <f>-I79*M81*10^-6</f>
        <v>0</v>
      </c>
      <c r="J81" s="624" t="s">
        <v>597</v>
      </c>
      <c r="L81" s="203" t="s">
        <v>813</v>
      </c>
      <c r="M81" s="16">
        <f>H31</f>
        <v>0</v>
      </c>
    </row>
    <row r="82" spans="3:13" ht="19.5" hidden="1" customHeight="1" x14ac:dyDescent="0.45">
      <c r="C82" s="646"/>
      <c r="D82" s="529"/>
      <c r="E82" s="645"/>
      <c r="F82" s="517"/>
      <c r="G82" s="632"/>
      <c r="H82" s="633"/>
      <c r="I82" s="764"/>
      <c r="J82" s="625"/>
    </row>
    <row r="83" spans="3:13" ht="19.5" hidden="1" customHeight="1" x14ac:dyDescent="0.45">
      <c r="C83" s="646"/>
      <c r="D83" s="529"/>
      <c r="E83" s="16" t="s">
        <v>837</v>
      </c>
      <c r="F83" s="16" t="s">
        <v>292</v>
      </c>
      <c r="G83" s="513" t="s">
        <v>42</v>
      </c>
      <c r="H83" s="515"/>
      <c r="I83" s="158">
        <f>+I77+I78+I81</f>
        <v>0</v>
      </c>
      <c r="J83" s="1" t="s">
        <v>838</v>
      </c>
    </row>
    <row r="84" spans="3:13" ht="19.5" hidden="1" customHeight="1" x14ac:dyDescent="0.45">
      <c r="C84" s="646"/>
      <c r="D84" s="521" t="s">
        <v>839</v>
      </c>
      <c r="E84" s="521"/>
      <c r="F84" s="16" t="s">
        <v>292</v>
      </c>
      <c r="G84" s="513" t="s">
        <v>42</v>
      </c>
      <c r="H84" s="515"/>
      <c r="I84" s="34">
        <f>+I44+I55</f>
        <v>31.599166920115586</v>
      </c>
      <c r="J84" s="1" t="s">
        <v>840</v>
      </c>
    </row>
    <row r="85" spans="3:13" ht="19.5" hidden="1" customHeight="1" x14ac:dyDescent="0.45">
      <c r="C85" s="646"/>
      <c r="D85" s="521" t="s">
        <v>841</v>
      </c>
      <c r="E85" s="521"/>
      <c r="F85" s="16" t="s">
        <v>292</v>
      </c>
      <c r="G85" s="513" t="s">
        <v>42</v>
      </c>
      <c r="H85" s="515"/>
      <c r="I85" s="34" t="e">
        <f>+I46+I76+I83</f>
        <v>#VALUE!</v>
      </c>
      <c r="J85" s="1" t="s">
        <v>842</v>
      </c>
    </row>
    <row r="86" spans="3:13" ht="19.5" hidden="1" customHeight="1" x14ac:dyDescent="0.45">
      <c r="C86" s="625"/>
      <c r="D86" s="538" t="s">
        <v>843</v>
      </c>
      <c r="E86" s="538"/>
      <c r="F86" s="16" t="s">
        <v>292</v>
      </c>
      <c r="G86" s="513" t="s">
        <v>42</v>
      </c>
      <c r="H86" s="515"/>
      <c r="I86" s="34" t="e">
        <f>+I84+I85</f>
        <v>#VALUE!</v>
      </c>
      <c r="J86" s="1" t="s">
        <v>844</v>
      </c>
    </row>
    <row r="87" spans="3:13" ht="39" hidden="1" customHeight="1" x14ac:dyDescent="0.45">
      <c r="C87" s="607" t="s">
        <v>394</v>
      </c>
      <c r="D87" s="608"/>
      <c r="E87" s="609"/>
      <c r="F87" s="16" t="s">
        <v>395</v>
      </c>
      <c r="G87" s="513" t="s">
        <v>42</v>
      </c>
      <c r="H87" s="515"/>
      <c r="I87" s="204" t="e">
        <f>1-I86/I48</f>
        <v>#VALUE!</v>
      </c>
      <c r="J87" s="1" t="s">
        <v>647</v>
      </c>
    </row>
    <row r="88" spans="3:13" ht="19.5" hidden="1" customHeight="1" x14ac:dyDescent="0.45"/>
    <row r="89" spans="3:13" ht="32.4" hidden="1" x14ac:dyDescent="0.45">
      <c r="C89" s="88" t="s">
        <v>845</v>
      </c>
    </row>
    <row r="90" spans="3:13" ht="19.5" hidden="1" customHeight="1" x14ac:dyDescent="0.45">
      <c r="C90" s="521" t="s">
        <v>27</v>
      </c>
      <c r="D90" s="521"/>
      <c r="E90" s="521"/>
      <c r="F90" s="16" t="s">
        <v>29</v>
      </c>
      <c r="G90" s="513" t="s">
        <v>279</v>
      </c>
      <c r="H90" s="515"/>
      <c r="I90" s="16" t="s">
        <v>280</v>
      </c>
    </row>
    <row r="91" spans="3:13" ht="19.5" hidden="1" customHeight="1" x14ac:dyDescent="0.45">
      <c r="C91" s="529" t="s">
        <v>846</v>
      </c>
      <c r="D91" s="529"/>
      <c r="E91" s="10" t="s">
        <v>786</v>
      </c>
      <c r="F91" s="16" t="s">
        <v>847</v>
      </c>
      <c r="G91" s="783">
        <f>+I54</f>
        <v>400.67099999999999</v>
      </c>
      <c r="H91" s="784"/>
      <c r="I91" s="185" t="s">
        <v>848</v>
      </c>
    </row>
    <row r="92" spans="3:13" ht="19.5" hidden="1" customHeight="1" x14ac:dyDescent="0.45">
      <c r="C92" s="529" t="s">
        <v>291</v>
      </c>
      <c r="D92" s="529"/>
      <c r="E92" s="10" t="s">
        <v>849</v>
      </c>
      <c r="F92" s="518" t="s">
        <v>850</v>
      </c>
      <c r="G92" s="787" t="e">
        <f>+I70+I73+I75</f>
        <v>#REF!</v>
      </c>
      <c r="H92" s="515"/>
      <c r="I92" s="1" t="s">
        <v>851</v>
      </c>
    </row>
    <row r="93" spans="3:13" ht="19.5" hidden="1" customHeight="1" x14ac:dyDescent="0.45">
      <c r="C93" s="529" t="s">
        <v>852</v>
      </c>
      <c r="D93" s="529"/>
      <c r="E93" s="10" t="s">
        <v>853</v>
      </c>
      <c r="F93" s="517"/>
      <c r="G93" s="787" t="e">
        <f>+I59+I67+I77+I78+I81</f>
        <v>#VALUE!</v>
      </c>
      <c r="H93" s="515"/>
      <c r="I93" s="1" t="s">
        <v>854</v>
      </c>
    </row>
    <row r="94" spans="3:13" ht="39" hidden="1" customHeight="1" x14ac:dyDescent="0.45">
      <c r="C94" s="788" t="s">
        <v>845</v>
      </c>
      <c r="D94" s="789"/>
      <c r="E94" s="789"/>
      <c r="F94" s="16" t="s">
        <v>855</v>
      </c>
      <c r="G94" s="790" t="e">
        <f>-G91/(G93+G92)</f>
        <v>#VALUE!</v>
      </c>
      <c r="H94" s="791"/>
      <c r="I94" s="205" t="s">
        <v>856</v>
      </c>
    </row>
    <row r="95" spans="3:13" ht="19.5" customHeight="1" x14ac:dyDescent="0.45"/>
    <row r="96" spans="3:13" ht="32.4" x14ac:dyDescent="0.45">
      <c r="C96" s="88" t="s">
        <v>397</v>
      </c>
    </row>
    <row r="97" spans="2:17" ht="19.5" customHeight="1" x14ac:dyDescent="0.45">
      <c r="B97" s="548" t="s">
        <v>27</v>
      </c>
      <c r="C97" s="802"/>
      <c r="D97" s="802"/>
      <c r="E97" s="549"/>
      <c r="F97" s="26" t="s">
        <v>29</v>
      </c>
      <c r="G97" s="548" t="s">
        <v>398</v>
      </c>
      <c r="H97" s="549"/>
      <c r="I97" s="226" t="s">
        <v>399</v>
      </c>
      <c r="J97" s="26" t="s">
        <v>400</v>
      </c>
    </row>
    <row r="98" spans="2:17" ht="19.5" customHeight="1" x14ac:dyDescent="0.45">
      <c r="B98" s="474" t="s">
        <v>537</v>
      </c>
      <c r="C98" s="610" t="s">
        <v>295</v>
      </c>
      <c r="D98" s="591"/>
      <c r="E98" s="243" t="s">
        <v>659</v>
      </c>
      <c r="F98" s="245" t="s">
        <v>84</v>
      </c>
      <c r="G98" s="497" t="s">
        <v>857</v>
      </c>
      <c r="H98" s="499"/>
      <c r="I98" s="253">
        <f>(1.12*E31+266)*M98*24*10^-3</f>
        <v>0</v>
      </c>
      <c r="J98" s="250" t="s">
        <v>858</v>
      </c>
      <c r="L98" s="248" t="s">
        <v>519</v>
      </c>
      <c r="M98" s="255">
        <f>H33</f>
        <v>0</v>
      </c>
    </row>
    <row r="99" spans="2:17" ht="58.5" customHeight="1" x14ac:dyDescent="0.45">
      <c r="B99" s="659"/>
      <c r="C99" s="592"/>
      <c r="D99" s="593"/>
      <c r="E99" s="244" t="s">
        <v>408</v>
      </c>
      <c r="F99" s="245" t="s">
        <v>84</v>
      </c>
      <c r="G99" s="785" t="s">
        <v>859</v>
      </c>
      <c r="H99" s="786"/>
      <c r="I99" s="253" t="e">
        <f>H35*M98*24*K34*10^-3*M99</f>
        <v>#VALUE!</v>
      </c>
      <c r="J99" s="250" t="s">
        <v>777</v>
      </c>
      <c r="L99" s="87" t="s">
        <v>860</v>
      </c>
      <c r="M99" s="391">
        <v>0.27779999999999999</v>
      </c>
    </row>
    <row r="100" spans="2:17" ht="19.5" customHeight="1" x14ac:dyDescent="0.45">
      <c r="B100" s="659"/>
      <c r="C100" s="594"/>
      <c r="D100" s="595"/>
      <c r="E100" s="245" t="s">
        <v>415</v>
      </c>
      <c r="F100" s="245" t="s">
        <v>84</v>
      </c>
      <c r="G100" s="497" t="s">
        <v>42</v>
      </c>
      <c r="H100" s="499"/>
      <c r="I100" s="253" t="e">
        <f>I98+I99</f>
        <v>#VALUE!</v>
      </c>
      <c r="J100" s="250" t="s">
        <v>861</v>
      </c>
    </row>
    <row r="101" spans="2:17" ht="39" customHeight="1" x14ac:dyDescent="0.45">
      <c r="B101" s="474" t="s">
        <v>1492</v>
      </c>
      <c r="C101" s="792" t="s">
        <v>862</v>
      </c>
      <c r="D101" s="591"/>
      <c r="E101" s="596" t="s">
        <v>863</v>
      </c>
      <c r="F101" s="249" t="s">
        <v>864</v>
      </c>
      <c r="G101" s="497" t="s">
        <v>865</v>
      </c>
      <c r="H101" s="499"/>
      <c r="I101" s="253">
        <f>(1.12*E31+266)+(0.119*E31+65.1)-(0.213*E31+10.462)</f>
        <v>320.63800000000003</v>
      </c>
      <c r="J101" s="250" t="s">
        <v>866</v>
      </c>
    </row>
    <row r="102" spans="2:17" ht="19.5" customHeight="1" x14ac:dyDescent="0.45">
      <c r="B102" s="659"/>
      <c r="C102" s="592"/>
      <c r="D102" s="593"/>
      <c r="E102" s="598"/>
      <c r="F102" s="156" t="s">
        <v>84</v>
      </c>
      <c r="G102" s="497" t="s">
        <v>867</v>
      </c>
      <c r="H102" s="499"/>
      <c r="I102" s="253">
        <f>I101*M102*24*10^-3</f>
        <v>0</v>
      </c>
      <c r="J102" s="250" t="s">
        <v>334</v>
      </c>
      <c r="L102" s="248" t="s">
        <v>519</v>
      </c>
      <c r="M102" s="255">
        <f>H33</f>
        <v>0</v>
      </c>
    </row>
    <row r="103" spans="2:17" ht="58.5" customHeight="1" x14ac:dyDescent="0.45">
      <c r="B103" s="659"/>
      <c r="C103" s="592"/>
      <c r="D103" s="593"/>
      <c r="E103" s="246" t="s">
        <v>868</v>
      </c>
      <c r="F103" s="245" t="s">
        <v>84</v>
      </c>
      <c r="G103" s="785" t="s">
        <v>869</v>
      </c>
      <c r="H103" s="786"/>
      <c r="I103" s="253" t="e">
        <f>H35*M102*24*K34*10^-3*M103</f>
        <v>#VALUE!</v>
      </c>
      <c r="J103" s="250" t="s">
        <v>340</v>
      </c>
      <c r="L103" s="87" t="s">
        <v>860</v>
      </c>
      <c r="M103" s="391">
        <v>0.27779999999999999</v>
      </c>
    </row>
    <row r="104" spans="2:17" ht="19.5" customHeight="1" x14ac:dyDescent="0.45">
      <c r="B104" s="659"/>
      <c r="C104" s="594"/>
      <c r="D104" s="595"/>
      <c r="E104" s="247" t="s">
        <v>415</v>
      </c>
      <c r="F104" s="245" t="s">
        <v>84</v>
      </c>
      <c r="G104" s="497" t="s">
        <v>42</v>
      </c>
      <c r="H104" s="499"/>
      <c r="I104" s="253" t="e">
        <f>I102+I103</f>
        <v>#VALUE!</v>
      </c>
      <c r="J104" s="250" t="s">
        <v>870</v>
      </c>
    </row>
    <row r="105" spans="2:17" ht="19.5" customHeight="1" x14ac:dyDescent="0.45">
      <c r="B105" s="659"/>
      <c r="C105" s="596" t="s">
        <v>371</v>
      </c>
      <c r="D105" s="596"/>
      <c r="E105" s="244" t="s">
        <v>428</v>
      </c>
      <c r="F105" s="156" t="s">
        <v>84</v>
      </c>
      <c r="G105" s="497" t="s">
        <v>871</v>
      </c>
      <c r="H105" s="499"/>
      <c r="I105" s="253" t="e">
        <f>I64*M105*24*10^-3</f>
        <v>#VALUE!</v>
      </c>
      <c r="J105" s="250" t="s">
        <v>353</v>
      </c>
      <c r="L105" s="248" t="s">
        <v>519</v>
      </c>
      <c r="M105" s="255">
        <f>H33</f>
        <v>0</v>
      </c>
    </row>
    <row r="106" spans="2:17" ht="39" customHeight="1" x14ac:dyDescent="0.45">
      <c r="B106" s="584" t="s">
        <v>397</v>
      </c>
      <c r="C106" s="585"/>
      <c r="D106" s="585"/>
      <c r="E106" s="691"/>
      <c r="F106" s="156" t="s">
        <v>395</v>
      </c>
      <c r="G106" s="497" t="s">
        <v>42</v>
      </c>
      <c r="H106" s="499"/>
      <c r="I106" s="254" t="e">
        <f>1-(I104-I105)/I100</f>
        <v>#VALUE!</v>
      </c>
      <c r="J106" s="250" t="s">
        <v>872</v>
      </c>
      <c r="Q106" s="102"/>
    </row>
    <row r="107" spans="2:17" ht="19.5" customHeight="1" x14ac:dyDescent="0.45"/>
    <row r="108" spans="2:17" ht="33" customHeight="1" x14ac:dyDescent="0.45">
      <c r="C108" s="88" t="s">
        <v>432</v>
      </c>
    </row>
    <row r="109" spans="2:17" ht="19.5" customHeight="1" x14ac:dyDescent="0.45">
      <c r="B109" s="548" t="s">
        <v>27</v>
      </c>
      <c r="C109" s="802"/>
      <c r="D109" s="802"/>
      <c r="E109" s="549"/>
      <c r="F109" s="26" t="s">
        <v>29</v>
      </c>
      <c r="G109" s="548" t="s">
        <v>398</v>
      </c>
      <c r="H109" s="549"/>
      <c r="I109" s="226" t="s">
        <v>433</v>
      </c>
      <c r="J109" s="26" t="s">
        <v>280</v>
      </c>
    </row>
    <row r="110" spans="2:17" ht="19.5" customHeight="1" x14ac:dyDescent="0.45">
      <c r="B110" s="474" t="s">
        <v>537</v>
      </c>
      <c r="C110" s="803" t="s">
        <v>295</v>
      </c>
      <c r="D110" s="697"/>
      <c r="E110" s="19" t="s">
        <v>434</v>
      </c>
      <c r="F110" s="87" t="s">
        <v>438</v>
      </c>
      <c r="G110" s="548" t="s">
        <v>1448</v>
      </c>
      <c r="H110" s="549"/>
      <c r="I110" s="256" t="e">
        <f>I100*T36</f>
        <v>#VALUE!</v>
      </c>
      <c r="J110" s="11" t="s">
        <v>693</v>
      </c>
    </row>
    <row r="111" spans="2:17" ht="19.5" customHeight="1" x14ac:dyDescent="0.45">
      <c r="B111" s="659"/>
      <c r="C111" s="795"/>
      <c r="D111" s="804"/>
      <c r="E111" s="806" t="s">
        <v>441</v>
      </c>
      <c r="F111" s="554" t="s">
        <v>442</v>
      </c>
      <c r="G111" s="797" t="s">
        <v>873</v>
      </c>
      <c r="H111" s="798"/>
      <c r="I111" s="678" t="e">
        <f>H35*M111*24*K35*10^-3</f>
        <v>#VALUE!</v>
      </c>
      <c r="J111" s="596" t="s">
        <v>777</v>
      </c>
      <c r="L111" s="248" t="s">
        <v>519</v>
      </c>
      <c r="M111" s="255">
        <f>H33</f>
        <v>0</v>
      </c>
    </row>
    <row r="112" spans="2:17" ht="19.5" customHeight="1" x14ac:dyDescent="0.45">
      <c r="B112" s="659"/>
      <c r="C112" s="795"/>
      <c r="D112" s="804"/>
      <c r="E112" s="598"/>
      <c r="F112" s="556"/>
      <c r="G112" s="799"/>
      <c r="H112" s="800"/>
      <c r="I112" s="801"/>
      <c r="J112" s="598"/>
    </row>
    <row r="113" spans="2:19" ht="19.5" customHeight="1" x14ac:dyDescent="0.45">
      <c r="B113" s="659"/>
      <c r="C113" s="795"/>
      <c r="D113" s="804"/>
      <c r="E113" s="596" t="s">
        <v>446</v>
      </c>
      <c r="F113" s="554" t="s">
        <v>719</v>
      </c>
      <c r="G113" s="557" t="s">
        <v>1516</v>
      </c>
      <c r="H113" s="665"/>
      <c r="I113" s="668">
        <f>M113*E31*M111*10^-3</f>
        <v>0</v>
      </c>
      <c r="J113" s="596"/>
      <c r="L113" s="459" t="s">
        <v>1515</v>
      </c>
      <c r="M113" s="601">
        <v>0.64500000000000002</v>
      </c>
    </row>
    <row r="114" spans="2:19" ht="19.5" customHeight="1" x14ac:dyDescent="0.45">
      <c r="B114" s="659"/>
      <c r="C114" s="795"/>
      <c r="D114" s="804"/>
      <c r="E114" s="597"/>
      <c r="F114" s="556"/>
      <c r="G114" s="666"/>
      <c r="H114" s="667"/>
      <c r="I114" s="669"/>
      <c r="J114" s="598"/>
      <c r="L114" s="460"/>
      <c r="M114" s="750"/>
    </row>
    <row r="115" spans="2:19" ht="19.5" customHeight="1" x14ac:dyDescent="0.45">
      <c r="B115" s="659"/>
      <c r="C115" s="795"/>
      <c r="D115" s="804"/>
      <c r="E115" s="598"/>
      <c r="F115" s="249" t="s">
        <v>442</v>
      </c>
      <c r="G115" s="548" t="s">
        <v>724</v>
      </c>
      <c r="H115" s="549"/>
      <c r="I115" s="253">
        <f>I113*298</f>
        <v>0</v>
      </c>
      <c r="J115" s="250" t="s">
        <v>701</v>
      </c>
      <c r="L115" s="461"/>
      <c r="M115" s="602"/>
    </row>
    <row r="116" spans="2:19" ht="19.5" customHeight="1" x14ac:dyDescent="0.45">
      <c r="B116" s="473"/>
      <c r="C116" s="805"/>
      <c r="D116" s="698"/>
      <c r="E116" s="156" t="s">
        <v>415</v>
      </c>
      <c r="F116" s="249" t="s">
        <v>442</v>
      </c>
      <c r="G116" s="548" t="s">
        <v>42</v>
      </c>
      <c r="H116" s="549"/>
      <c r="I116" s="253" t="e">
        <f>+I110+I111+I115</f>
        <v>#VALUE!</v>
      </c>
      <c r="J116" s="250" t="s">
        <v>874</v>
      </c>
    </row>
    <row r="117" spans="2:19" ht="19.5" customHeight="1" x14ac:dyDescent="0.45">
      <c r="B117" s="474" t="s">
        <v>1492</v>
      </c>
      <c r="C117" s="793" t="s">
        <v>862</v>
      </c>
      <c r="D117" s="794"/>
      <c r="E117" s="246" t="s">
        <v>875</v>
      </c>
      <c r="F117" s="249" t="s">
        <v>442</v>
      </c>
      <c r="G117" s="548" t="s">
        <v>1449</v>
      </c>
      <c r="H117" s="549"/>
      <c r="I117" s="253" t="e">
        <f>I104*T36</f>
        <v>#VALUE!</v>
      </c>
      <c r="J117" s="250" t="s">
        <v>340</v>
      </c>
    </row>
    <row r="118" spans="2:19" ht="19.5" customHeight="1" x14ac:dyDescent="0.45">
      <c r="B118" s="659"/>
      <c r="C118" s="795"/>
      <c r="D118" s="796"/>
      <c r="E118" s="596" t="s">
        <v>441</v>
      </c>
      <c r="F118" s="554" t="s">
        <v>442</v>
      </c>
      <c r="G118" s="797" t="s">
        <v>873</v>
      </c>
      <c r="H118" s="798"/>
      <c r="I118" s="678" t="e">
        <f>H35*M118*24*K35*10^-3</f>
        <v>#VALUE!</v>
      </c>
      <c r="J118" s="596" t="s">
        <v>344</v>
      </c>
      <c r="L118" s="248" t="s">
        <v>835</v>
      </c>
      <c r="M118" s="255">
        <f>H33</f>
        <v>0</v>
      </c>
    </row>
    <row r="119" spans="2:19" ht="19.5" customHeight="1" x14ac:dyDescent="0.45">
      <c r="B119" s="659"/>
      <c r="C119" s="795"/>
      <c r="D119" s="796"/>
      <c r="E119" s="598"/>
      <c r="F119" s="556"/>
      <c r="G119" s="799"/>
      <c r="H119" s="800"/>
      <c r="I119" s="801"/>
      <c r="J119" s="598"/>
    </row>
    <row r="120" spans="2:19" ht="19.5" customHeight="1" x14ac:dyDescent="0.45">
      <c r="B120" s="659"/>
      <c r="C120" s="795"/>
      <c r="D120" s="796"/>
      <c r="E120" s="670" t="s">
        <v>741</v>
      </c>
      <c r="F120" s="459" t="s">
        <v>742</v>
      </c>
      <c r="G120" s="664" t="s">
        <v>876</v>
      </c>
      <c r="H120" s="665"/>
      <c r="I120" s="668">
        <f>0.000232*E31*M118</f>
        <v>0</v>
      </c>
      <c r="J120" s="596" t="s">
        <v>877</v>
      </c>
    </row>
    <row r="121" spans="2:19" ht="19.5" customHeight="1" x14ac:dyDescent="0.45">
      <c r="B121" s="659"/>
      <c r="C121" s="795"/>
      <c r="D121" s="796"/>
      <c r="E121" s="671"/>
      <c r="F121" s="461"/>
      <c r="G121" s="666"/>
      <c r="H121" s="667"/>
      <c r="I121" s="669"/>
      <c r="J121" s="598"/>
    </row>
    <row r="122" spans="2:19" ht="19.5" customHeight="1" x14ac:dyDescent="0.45">
      <c r="B122" s="659"/>
      <c r="C122" s="795"/>
      <c r="D122" s="796"/>
      <c r="E122" s="672"/>
      <c r="F122" s="87" t="s">
        <v>438</v>
      </c>
      <c r="G122" s="548" t="s">
        <v>724</v>
      </c>
      <c r="H122" s="549"/>
      <c r="I122" s="253">
        <f>I120*298</f>
        <v>0</v>
      </c>
      <c r="J122" s="251" t="s">
        <v>353</v>
      </c>
      <c r="P122" s="653"/>
      <c r="Q122" s="653"/>
      <c r="R122" s="190"/>
      <c r="S122" s="191"/>
    </row>
    <row r="123" spans="2:19" ht="19.5" customHeight="1" x14ac:dyDescent="0.45">
      <c r="B123" s="659"/>
      <c r="C123" s="795"/>
      <c r="D123" s="796"/>
      <c r="E123" s="19" t="s">
        <v>472</v>
      </c>
      <c r="F123" s="87" t="s">
        <v>438</v>
      </c>
      <c r="G123" s="548" t="s">
        <v>1450</v>
      </c>
      <c r="H123" s="549"/>
      <c r="I123" s="253" t="e">
        <f>-I65*T36</f>
        <v>#VALUE!</v>
      </c>
      <c r="J123" s="251" t="s">
        <v>359</v>
      </c>
      <c r="P123" s="102"/>
    </row>
    <row r="124" spans="2:19" ht="19.5" customHeight="1" x14ac:dyDescent="0.45">
      <c r="B124" s="473"/>
      <c r="C124" s="795"/>
      <c r="D124" s="796"/>
      <c r="E124" s="418" t="s">
        <v>415</v>
      </c>
      <c r="F124" s="87" t="s">
        <v>438</v>
      </c>
      <c r="G124" s="548" t="s">
        <v>42</v>
      </c>
      <c r="H124" s="549"/>
      <c r="I124" s="253" t="e">
        <f>+I117+I118+I122+I123</f>
        <v>#VALUE!</v>
      </c>
      <c r="J124" s="251" t="s">
        <v>878</v>
      </c>
      <c r="R124" s="109"/>
      <c r="S124" s="102"/>
    </row>
    <row r="125" spans="2:19" ht="39" customHeight="1" x14ac:dyDescent="0.45">
      <c r="B125" s="579" t="s">
        <v>432</v>
      </c>
      <c r="C125" s="680"/>
      <c r="D125" s="680"/>
      <c r="E125" s="681"/>
      <c r="F125" s="26" t="s">
        <v>395</v>
      </c>
      <c r="G125" s="548" t="s">
        <v>42</v>
      </c>
      <c r="H125" s="549"/>
      <c r="I125" s="254" t="e">
        <f>1-I124/I116</f>
        <v>#VALUE!</v>
      </c>
      <c r="J125" s="252" t="s">
        <v>879</v>
      </c>
      <c r="R125" s="127"/>
      <c r="S125" s="102"/>
    </row>
    <row r="128" spans="2:19" x14ac:dyDescent="0.45">
      <c r="C128" s="538" t="s">
        <v>93</v>
      </c>
      <c r="D128" s="538"/>
      <c r="E128" s="312" t="e">
        <f>I116-I124</f>
        <v>#VALUE!</v>
      </c>
      <c r="F128" s="311" t="s">
        <v>21</v>
      </c>
    </row>
  </sheetData>
  <mergeCells count="187">
    <mergeCell ref="B98:B100"/>
    <mergeCell ref="B97:E97"/>
    <mergeCell ref="B101:B105"/>
    <mergeCell ref="B106:E106"/>
    <mergeCell ref="B109:E109"/>
    <mergeCell ref="B110:B116"/>
    <mergeCell ref="B117:B124"/>
    <mergeCell ref="P122:Q122"/>
    <mergeCell ref="G123:H123"/>
    <mergeCell ref="G124:H124"/>
    <mergeCell ref="J111:J112"/>
    <mergeCell ref="E113:E115"/>
    <mergeCell ref="F113:F114"/>
    <mergeCell ref="G113:H114"/>
    <mergeCell ref="I113:I114"/>
    <mergeCell ref="J113:J114"/>
    <mergeCell ref="G115:H115"/>
    <mergeCell ref="C110:D116"/>
    <mergeCell ref="G110:H110"/>
    <mergeCell ref="E111:E112"/>
    <mergeCell ref="F111:F112"/>
    <mergeCell ref="G111:H112"/>
    <mergeCell ref="I111:I112"/>
    <mergeCell ref="G116:H116"/>
    <mergeCell ref="G125:H125"/>
    <mergeCell ref="C128:D128"/>
    <mergeCell ref="J118:J119"/>
    <mergeCell ref="E120:E122"/>
    <mergeCell ref="F120:F121"/>
    <mergeCell ref="G120:H121"/>
    <mergeCell ref="I120:I121"/>
    <mergeCell ref="J120:J121"/>
    <mergeCell ref="G122:H122"/>
    <mergeCell ref="C117:D124"/>
    <mergeCell ref="G117:H117"/>
    <mergeCell ref="E118:E119"/>
    <mergeCell ref="F118:F119"/>
    <mergeCell ref="G118:H119"/>
    <mergeCell ref="I118:I119"/>
    <mergeCell ref="B125:E125"/>
    <mergeCell ref="C105:D105"/>
    <mergeCell ref="G105:H105"/>
    <mergeCell ref="G106:H106"/>
    <mergeCell ref="G109:H109"/>
    <mergeCell ref="C101:D104"/>
    <mergeCell ref="E101:E102"/>
    <mergeCell ref="G101:H101"/>
    <mergeCell ref="G102:H102"/>
    <mergeCell ref="G103:H103"/>
    <mergeCell ref="G104:H104"/>
    <mergeCell ref="G97:H97"/>
    <mergeCell ref="C98:D100"/>
    <mergeCell ref="G98:H98"/>
    <mergeCell ref="G99:H99"/>
    <mergeCell ref="G100:H100"/>
    <mergeCell ref="C92:D92"/>
    <mergeCell ref="F92:F93"/>
    <mergeCell ref="G92:H92"/>
    <mergeCell ref="C93:D93"/>
    <mergeCell ref="G93:H93"/>
    <mergeCell ref="C94:E94"/>
    <mergeCell ref="G94:H94"/>
    <mergeCell ref="C87:E87"/>
    <mergeCell ref="G87:H87"/>
    <mergeCell ref="C90:E90"/>
    <mergeCell ref="G90:H90"/>
    <mergeCell ref="C91:D91"/>
    <mergeCell ref="G91:H91"/>
    <mergeCell ref="G83:H83"/>
    <mergeCell ref="D84:E84"/>
    <mergeCell ref="G84:H84"/>
    <mergeCell ref="D85:E85"/>
    <mergeCell ref="G85:H85"/>
    <mergeCell ref="D86:E86"/>
    <mergeCell ref="G86:H86"/>
    <mergeCell ref="E79:E82"/>
    <mergeCell ref="F79:F80"/>
    <mergeCell ref="G79:H80"/>
    <mergeCell ref="E72:E74"/>
    <mergeCell ref="G72:H72"/>
    <mergeCell ref="P72:Q72"/>
    <mergeCell ref="F73:F74"/>
    <mergeCell ref="G73:H74"/>
    <mergeCell ref="I73:I74"/>
    <mergeCell ref="J73:J74"/>
    <mergeCell ref="P74:Q74"/>
    <mergeCell ref="I79:I80"/>
    <mergeCell ref="J79:J80"/>
    <mergeCell ref="F81:F82"/>
    <mergeCell ref="G81:H82"/>
    <mergeCell ref="I81:I82"/>
    <mergeCell ref="J81:J82"/>
    <mergeCell ref="G75:H75"/>
    <mergeCell ref="G76:H76"/>
    <mergeCell ref="G77:H77"/>
    <mergeCell ref="G78:H78"/>
    <mergeCell ref="E69:E71"/>
    <mergeCell ref="G69:H69"/>
    <mergeCell ref="P69:Q69"/>
    <mergeCell ref="F70:F71"/>
    <mergeCell ref="G70:H71"/>
    <mergeCell ref="I70:I71"/>
    <mergeCell ref="J70:J71"/>
    <mergeCell ref="P71:Q71"/>
    <mergeCell ref="P66:Q66"/>
    <mergeCell ref="F67:F68"/>
    <mergeCell ref="G67:H68"/>
    <mergeCell ref="I67:I68"/>
    <mergeCell ref="J67:J68"/>
    <mergeCell ref="P68:Q68"/>
    <mergeCell ref="E61:E68"/>
    <mergeCell ref="F61:F63"/>
    <mergeCell ref="G61:H63"/>
    <mergeCell ref="I61:I63"/>
    <mergeCell ref="J61:J63"/>
    <mergeCell ref="G64:H64"/>
    <mergeCell ref="F65:F66"/>
    <mergeCell ref="G65:H66"/>
    <mergeCell ref="I65:I66"/>
    <mergeCell ref="J65:J66"/>
    <mergeCell ref="I57:I58"/>
    <mergeCell ref="J57:J58"/>
    <mergeCell ref="L57:M57"/>
    <mergeCell ref="P58:Q58"/>
    <mergeCell ref="F59:F60"/>
    <mergeCell ref="G59:H60"/>
    <mergeCell ref="I59:I60"/>
    <mergeCell ref="J59:J60"/>
    <mergeCell ref="L60:L61"/>
    <mergeCell ref="M60:M61"/>
    <mergeCell ref="P53:Q53"/>
    <mergeCell ref="G54:H54"/>
    <mergeCell ref="P54:Q54"/>
    <mergeCell ref="E55:E56"/>
    <mergeCell ref="F55:F56"/>
    <mergeCell ref="G55:H56"/>
    <mergeCell ref="I55:I56"/>
    <mergeCell ref="J55:J56"/>
    <mergeCell ref="P56:Q56"/>
    <mergeCell ref="P44:Q44"/>
    <mergeCell ref="E46:E47"/>
    <mergeCell ref="F46:F47"/>
    <mergeCell ref="G46:H47"/>
    <mergeCell ref="I46:I47"/>
    <mergeCell ref="J46:J47"/>
    <mergeCell ref="L46:M46"/>
    <mergeCell ref="M48:M49"/>
    <mergeCell ref="C50:C86"/>
    <mergeCell ref="D50:D83"/>
    <mergeCell ref="G50:H50"/>
    <mergeCell ref="G51:H51"/>
    <mergeCell ref="G52:H52"/>
    <mergeCell ref="G53:H53"/>
    <mergeCell ref="E57:E60"/>
    <mergeCell ref="F57:F58"/>
    <mergeCell ref="G57:H58"/>
    <mergeCell ref="E48:E49"/>
    <mergeCell ref="F48:F49"/>
    <mergeCell ref="G48:H49"/>
    <mergeCell ref="I48:I49"/>
    <mergeCell ref="J48:J49"/>
    <mergeCell ref="L48:L49"/>
    <mergeCell ref="C40:C49"/>
    <mergeCell ref="T31:U31"/>
    <mergeCell ref="L113:L115"/>
    <mergeCell ref="M113:M115"/>
    <mergeCell ref="C30:D30"/>
    <mergeCell ref="C31:D31"/>
    <mergeCell ref="R31:S31"/>
    <mergeCell ref="C32:D32"/>
    <mergeCell ref="C33:D33"/>
    <mergeCell ref="P41:P43"/>
    <mergeCell ref="S41:S42"/>
    <mergeCell ref="G42:H42"/>
    <mergeCell ref="G43:H43"/>
    <mergeCell ref="K34:L34"/>
    <mergeCell ref="E44:E45"/>
    <mergeCell ref="F44:F45"/>
    <mergeCell ref="C34:D34"/>
    <mergeCell ref="C35:D35"/>
    <mergeCell ref="G39:H39"/>
    <mergeCell ref="G44:H45"/>
    <mergeCell ref="I44:I45"/>
    <mergeCell ref="J44:J45"/>
    <mergeCell ref="D40:D49"/>
    <mergeCell ref="G40:H40"/>
    <mergeCell ref="G41:H41"/>
  </mergeCells>
  <phoneticPr fontId="2"/>
  <dataValidations disablePrompts="1" count="1">
    <dataValidation type="list" allowBlank="1" showInputMessage="1" showErrorMessage="1" sqref="H34" xr:uid="{FF9E62EB-71DF-4D7E-95EB-EC32E1A19493}">
      <formula1>"都市ガス,消化ガス,,灯油,A重油"</formula1>
    </dataValidation>
  </dataValidations>
  <hyperlinks>
    <hyperlink ref="J2" location="汚泥処理対策シート!A1" display="クリックで対策シートに戻る" xr:uid="{FC6BD52B-07F6-4866-8AEA-2B79194BBD3B}"/>
  </hyperlinks>
  <pageMargins left="0.70866141732283472" right="0.70866141732283472" top="0.74803149606299213" bottom="0.74803149606299213" header="0.31496062992125984" footer="0.31496062992125984"/>
  <pageSetup paperSize="9" scale="3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7777B-597B-4B08-AA5A-7E1737911815}">
  <sheetPr codeName="Sheet1">
    <tabColor rgb="FF00B050"/>
    <pageSetUpPr fitToPage="1"/>
  </sheetPr>
  <dimension ref="B1:R53"/>
  <sheetViews>
    <sheetView showGridLines="0" zoomScale="80" zoomScaleNormal="80" zoomScaleSheetLayoutView="85" workbookViewId="0"/>
  </sheetViews>
  <sheetFormatPr defaultRowHeight="18" x14ac:dyDescent="0.45"/>
  <cols>
    <col min="2" max="2" width="34.69921875" customWidth="1"/>
    <col min="3" max="3" width="20.8984375" customWidth="1"/>
    <col min="4" max="4" width="15.3984375" customWidth="1"/>
    <col min="5" max="5" width="11.3984375" customWidth="1"/>
    <col min="6" max="6" width="13.69921875" customWidth="1"/>
    <col min="7" max="7" width="14.09765625" bestFit="1" customWidth="1"/>
    <col min="8" max="8" width="13.69921875" bestFit="1" customWidth="1"/>
    <col min="9" max="9" width="10.69921875" customWidth="1"/>
    <col min="10" max="10" width="16.3984375" customWidth="1"/>
    <col min="11" max="11" width="12.09765625" bestFit="1" customWidth="1"/>
  </cols>
  <sheetData>
    <row r="1" spans="2:18" ht="26.4" x14ac:dyDescent="0.45">
      <c r="B1" s="5" t="s">
        <v>1484</v>
      </c>
    </row>
    <row r="2" spans="2:18" s="5" customFormat="1" ht="26.4" x14ac:dyDescent="0.45">
      <c r="B2" s="5" t="s">
        <v>1400</v>
      </c>
    </row>
    <row r="3" spans="2:18" ht="26.4" x14ac:dyDescent="0.45">
      <c r="B3" s="5"/>
    </row>
    <row r="4" spans="2:18" x14ac:dyDescent="0.45">
      <c r="B4" s="3" t="s">
        <v>1388</v>
      </c>
    </row>
    <row r="5" spans="2:18" x14ac:dyDescent="0.45">
      <c r="B5" s="3" t="s">
        <v>1150</v>
      </c>
    </row>
    <row r="6" spans="2:18" ht="26.4" x14ac:dyDescent="0.45">
      <c r="B6" s="5"/>
      <c r="G6" s="18"/>
      <c r="H6" t="s">
        <v>79</v>
      </c>
    </row>
    <row r="7" spans="2:18" x14ac:dyDescent="0.45">
      <c r="G7" s="7"/>
      <c r="H7" t="s">
        <v>80</v>
      </c>
      <c r="L7" s="151"/>
    </row>
    <row r="8" spans="2:18" x14ac:dyDescent="0.45">
      <c r="B8" s="4" t="s">
        <v>1364</v>
      </c>
      <c r="G8" s="378"/>
      <c r="H8" t="s">
        <v>1401</v>
      </c>
    </row>
    <row r="9" spans="2:18" ht="19.8" x14ac:dyDescent="0.45">
      <c r="B9" s="12" t="s">
        <v>1365</v>
      </c>
      <c r="C9" s="415"/>
      <c r="D9" s="12" t="s">
        <v>71</v>
      </c>
      <c r="G9" s="11"/>
      <c r="H9" t="s">
        <v>81</v>
      </c>
    </row>
    <row r="10" spans="2:18" ht="20.399999999999999" thickBot="1" x14ac:dyDescent="0.5">
      <c r="B10" s="12" t="s">
        <v>1366</v>
      </c>
      <c r="C10" s="415"/>
      <c r="D10" s="12" t="s">
        <v>71</v>
      </c>
      <c r="E10" s="4"/>
    </row>
    <row r="11" spans="2:18" ht="105.75" customHeight="1" thickBot="1" x14ac:dyDescent="0.5">
      <c r="B11" s="12" t="s">
        <v>480</v>
      </c>
      <c r="C11" s="373"/>
      <c r="D11" s="414" t="s">
        <v>1481</v>
      </c>
      <c r="E11" s="4"/>
      <c r="F11" s="454" t="s">
        <v>1480</v>
      </c>
      <c r="G11" s="455"/>
      <c r="H11" s="455"/>
      <c r="I11" s="455"/>
      <c r="J11" s="455"/>
      <c r="K11" s="455"/>
      <c r="L11" s="455"/>
      <c r="M11" s="455"/>
      <c r="N11" s="455"/>
      <c r="O11" s="455"/>
      <c r="P11" s="455"/>
      <c r="Q11" s="455"/>
      <c r="R11" s="456"/>
    </row>
    <row r="12" spans="2:18" x14ac:dyDescent="0.45">
      <c r="B12" s="12" t="s">
        <v>64</v>
      </c>
      <c r="C12" s="372"/>
      <c r="D12" s="12">
        <f>C12</f>
        <v>0</v>
      </c>
      <c r="E12" s="4"/>
    </row>
    <row r="13" spans="2:18" ht="19.2" x14ac:dyDescent="0.45">
      <c r="B13" s="12" t="s">
        <v>70</v>
      </c>
      <c r="C13" s="378">
        <v>0.25</v>
      </c>
      <c r="D13" s="12" t="s">
        <v>72</v>
      </c>
      <c r="E13" s="4" t="s">
        <v>1389</v>
      </c>
    </row>
    <row r="14" spans="2:18" x14ac:dyDescent="0.45">
      <c r="B14" s="12" t="s">
        <v>69</v>
      </c>
      <c r="C14" s="463">
        <f>IF(D12="焼却あり",D12,C11)</f>
        <v>0</v>
      </c>
      <c r="D14" s="464"/>
      <c r="E14" s="4"/>
    </row>
    <row r="15" spans="2:18" x14ac:dyDescent="0.45">
      <c r="E15" s="4"/>
    </row>
    <row r="17" spans="2:11" x14ac:dyDescent="0.45">
      <c r="B17" s="4" t="s">
        <v>1257</v>
      </c>
    </row>
    <row r="18" spans="2:11" x14ac:dyDescent="0.45">
      <c r="B18" s="3" t="s">
        <v>1178</v>
      </c>
    </row>
    <row r="19" spans="2:11" x14ac:dyDescent="0.45">
      <c r="B19" s="3" t="s">
        <v>1338</v>
      </c>
    </row>
    <row r="20" spans="2:11" x14ac:dyDescent="0.45">
      <c r="B20" s="3"/>
    </row>
    <row r="21" spans="2:11" x14ac:dyDescent="0.45">
      <c r="B21" s="4" t="s">
        <v>1403</v>
      </c>
    </row>
    <row r="22" spans="2:11" x14ac:dyDescent="0.45">
      <c r="B22" s="465" t="s">
        <v>27</v>
      </c>
      <c r="C22" s="465"/>
      <c r="D22" s="26" t="s">
        <v>76</v>
      </c>
      <c r="E22" s="11" t="s">
        <v>3</v>
      </c>
      <c r="F22" s="11"/>
      <c r="G22" s="11" t="s">
        <v>4</v>
      </c>
      <c r="H22" s="11" t="s">
        <v>3</v>
      </c>
      <c r="I22" s="11"/>
      <c r="J22" s="11" t="s">
        <v>5</v>
      </c>
      <c r="K22" s="11" t="s">
        <v>3</v>
      </c>
    </row>
    <row r="23" spans="2:11" ht="37.5" customHeight="1" x14ac:dyDescent="0.45">
      <c r="B23" s="457" t="s">
        <v>1175</v>
      </c>
      <c r="C23" s="458"/>
      <c r="D23" s="8"/>
      <c r="E23" s="19" t="s">
        <v>6</v>
      </c>
      <c r="F23" s="11" t="s">
        <v>7</v>
      </c>
      <c r="G23" s="378">
        <f>$C$13</f>
        <v>0.25</v>
      </c>
      <c r="H23" s="11" t="s">
        <v>22</v>
      </c>
      <c r="I23" s="11" t="s">
        <v>20</v>
      </c>
      <c r="J23" s="149" t="str">
        <f t="shared" ref="J23:J31" si="0">IF(D23="","",D23*G23)</f>
        <v/>
      </c>
      <c r="K23" s="11" t="s">
        <v>21</v>
      </c>
    </row>
    <row r="24" spans="2:11" ht="18.75" customHeight="1" x14ac:dyDescent="0.45">
      <c r="B24" s="459" t="s">
        <v>1176</v>
      </c>
      <c r="C24" s="11" t="s">
        <v>9</v>
      </c>
      <c r="D24" s="8"/>
      <c r="E24" s="19" t="s">
        <v>10</v>
      </c>
      <c r="F24" s="11" t="s">
        <v>7</v>
      </c>
      <c r="G24" s="378">
        <v>2.71</v>
      </c>
      <c r="H24" s="11" t="s">
        <v>23</v>
      </c>
      <c r="I24" s="11" t="s">
        <v>8</v>
      </c>
      <c r="J24" s="149" t="str">
        <f t="shared" si="0"/>
        <v/>
      </c>
      <c r="K24" s="11" t="s">
        <v>21</v>
      </c>
    </row>
    <row r="25" spans="2:11" x14ac:dyDescent="0.45">
      <c r="B25" s="460"/>
      <c r="C25" s="11" t="s">
        <v>11</v>
      </c>
      <c r="D25" s="8"/>
      <c r="E25" s="19" t="s">
        <v>10</v>
      </c>
      <c r="F25" s="11" t="s">
        <v>7</v>
      </c>
      <c r="G25" s="378">
        <v>2.71</v>
      </c>
      <c r="H25" s="11" t="s">
        <v>23</v>
      </c>
      <c r="I25" s="11" t="s">
        <v>8</v>
      </c>
      <c r="J25" s="149" t="str">
        <f t="shared" si="0"/>
        <v/>
      </c>
      <c r="K25" s="11" t="s">
        <v>21</v>
      </c>
    </row>
    <row r="26" spans="2:11" x14ac:dyDescent="0.45">
      <c r="B26" s="460"/>
      <c r="C26" s="11" t="s">
        <v>12</v>
      </c>
      <c r="D26" s="8"/>
      <c r="E26" s="19" t="s">
        <v>10</v>
      </c>
      <c r="F26" s="11" t="s">
        <v>7</v>
      </c>
      <c r="G26" s="378">
        <v>2.4900000000000002</v>
      </c>
      <c r="H26" s="11" t="s">
        <v>23</v>
      </c>
      <c r="I26" s="11" t="s">
        <v>8</v>
      </c>
      <c r="J26" s="149" t="str">
        <f t="shared" si="0"/>
        <v/>
      </c>
      <c r="K26" s="11" t="s">
        <v>21</v>
      </c>
    </row>
    <row r="27" spans="2:11" x14ac:dyDescent="0.45">
      <c r="B27" s="460"/>
      <c r="C27" s="11" t="s">
        <v>13</v>
      </c>
      <c r="D27" s="8"/>
      <c r="E27" s="19" t="s">
        <v>10</v>
      </c>
      <c r="F27" s="11" t="s">
        <v>7</v>
      </c>
      <c r="G27" s="378">
        <v>2.58</v>
      </c>
      <c r="H27" s="11" t="s">
        <v>23</v>
      </c>
      <c r="I27" s="11" t="s">
        <v>8</v>
      </c>
      <c r="J27" s="149" t="str">
        <f t="shared" si="0"/>
        <v/>
      </c>
      <c r="K27" s="11" t="s">
        <v>21</v>
      </c>
    </row>
    <row r="28" spans="2:11" x14ac:dyDescent="0.45">
      <c r="B28" s="460"/>
      <c r="C28" s="11" t="s">
        <v>14</v>
      </c>
      <c r="D28" s="8"/>
      <c r="E28" s="19" t="s">
        <v>10</v>
      </c>
      <c r="F28" s="11" t="s">
        <v>7</v>
      </c>
      <c r="G28" s="378">
        <v>2.3199999999999998</v>
      </c>
      <c r="H28" s="11" t="s">
        <v>23</v>
      </c>
      <c r="I28" s="11" t="s">
        <v>8</v>
      </c>
      <c r="J28" s="149" t="str">
        <f t="shared" si="0"/>
        <v/>
      </c>
      <c r="K28" s="11" t="s">
        <v>21</v>
      </c>
    </row>
    <row r="29" spans="2:11" x14ac:dyDescent="0.45">
      <c r="B29" s="460"/>
      <c r="C29" s="11" t="s">
        <v>15</v>
      </c>
      <c r="D29" s="8"/>
      <c r="E29" s="19" t="s">
        <v>30</v>
      </c>
      <c r="F29" s="11" t="s">
        <v>7</v>
      </c>
      <c r="G29" s="378">
        <v>2.23</v>
      </c>
      <c r="H29" s="21" t="s">
        <v>31</v>
      </c>
      <c r="I29" s="11" t="s">
        <v>8</v>
      </c>
      <c r="J29" s="149" t="str">
        <f t="shared" si="0"/>
        <v/>
      </c>
      <c r="K29" s="11" t="s">
        <v>21</v>
      </c>
    </row>
    <row r="30" spans="2:11" x14ac:dyDescent="0.45">
      <c r="B30" s="460"/>
      <c r="C30" s="11" t="s">
        <v>16</v>
      </c>
      <c r="D30" s="8"/>
      <c r="E30" s="19" t="s">
        <v>30</v>
      </c>
      <c r="F30" s="11" t="s">
        <v>7</v>
      </c>
      <c r="G30" s="378">
        <v>3</v>
      </c>
      <c r="H30" s="11" t="s">
        <v>75</v>
      </c>
      <c r="I30" s="11" t="s">
        <v>8</v>
      </c>
      <c r="J30" s="149" t="str">
        <f t="shared" si="0"/>
        <v/>
      </c>
      <c r="K30" s="11" t="s">
        <v>21</v>
      </c>
    </row>
    <row r="31" spans="2:11" x14ac:dyDescent="0.45">
      <c r="B31" s="460"/>
      <c r="C31" s="11" t="s">
        <v>18</v>
      </c>
      <c r="D31" s="8"/>
      <c r="E31" s="19" t="s">
        <v>17</v>
      </c>
      <c r="F31" s="11" t="s">
        <v>7</v>
      </c>
      <c r="G31" s="378">
        <v>3.17</v>
      </c>
      <c r="H31" s="11" t="s">
        <v>24</v>
      </c>
      <c r="I31" s="11" t="s">
        <v>8</v>
      </c>
      <c r="J31" s="149" t="str">
        <f t="shared" si="0"/>
        <v/>
      </c>
      <c r="K31" s="11" t="s">
        <v>21</v>
      </c>
    </row>
    <row r="32" spans="2:11" x14ac:dyDescent="0.45">
      <c r="B32" s="460"/>
      <c r="C32" s="11" t="s">
        <v>1191</v>
      </c>
      <c r="D32" s="8"/>
      <c r="E32" s="19" t="s">
        <v>19</v>
      </c>
      <c r="F32" s="11" t="s">
        <v>7</v>
      </c>
      <c r="G32" s="378">
        <v>2.3199999999999998</v>
      </c>
      <c r="H32" s="11" t="s">
        <v>25</v>
      </c>
      <c r="I32" s="11" t="s">
        <v>8</v>
      </c>
      <c r="J32" s="149" t="str">
        <f>IF(D32="","",D32*G32)</f>
        <v/>
      </c>
      <c r="K32" s="11" t="s">
        <v>21</v>
      </c>
    </row>
    <row r="33" spans="2:11" ht="36" x14ac:dyDescent="0.45">
      <c r="B33" s="460"/>
      <c r="C33" s="25" t="s">
        <v>1190</v>
      </c>
      <c r="D33" s="8"/>
      <c r="E33" s="8"/>
      <c r="F33" s="11" t="s">
        <v>7</v>
      </c>
      <c r="G33" s="378"/>
      <c r="H33" s="8"/>
      <c r="I33" s="11" t="s">
        <v>8</v>
      </c>
      <c r="J33" s="149" t="str">
        <f>IF(D33="","",D33*G33)</f>
        <v/>
      </c>
      <c r="K33" s="11" t="s">
        <v>21</v>
      </c>
    </row>
    <row r="34" spans="2:11" ht="36" x14ac:dyDescent="0.45">
      <c r="B34" s="460"/>
      <c r="C34" s="25" t="s">
        <v>1190</v>
      </c>
      <c r="D34" s="8"/>
      <c r="E34" s="8"/>
      <c r="F34" s="11" t="s">
        <v>7</v>
      </c>
      <c r="G34" s="378"/>
      <c r="H34" s="8"/>
      <c r="I34" s="11" t="s">
        <v>8</v>
      </c>
      <c r="J34" s="149" t="str">
        <f>IF(D34="","",D34*G34)</f>
        <v/>
      </c>
      <c r="K34" s="11" t="s">
        <v>21</v>
      </c>
    </row>
    <row r="35" spans="2:11" ht="36" x14ac:dyDescent="0.45">
      <c r="B35" s="461"/>
      <c r="C35" s="25" t="s">
        <v>1190</v>
      </c>
      <c r="D35" s="8"/>
      <c r="E35" s="8"/>
      <c r="F35" s="11" t="s">
        <v>7</v>
      </c>
      <c r="G35" s="378"/>
      <c r="H35" s="8"/>
      <c r="I35" s="11" t="s">
        <v>8</v>
      </c>
      <c r="J35" s="149" t="str">
        <f>IF(D35="","",D35*G35)</f>
        <v/>
      </c>
      <c r="K35" s="11" t="s">
        <v>21</v>
      </c>
    </row>
    <row r="36" spans="2:11" x14ac:dyDescent="0.45">
      <c r="B36" s="462" t="s">
        <v>1523</v>
      </c>
      <c r="C36" s="462"/>
      <c r="D36" s="462"/>
      <c r="E36" s="462"/>
      <c r="F36" s="462"/>
      <c r="G36" s="462"/>
      <c r="H36" s="462"/>
      <c r="I36" s="462"/>
      <c r="J36" s="313">
        <f>SUM(J23:J35)</f>
        <v>0</v>
      </c>
      <c r="K36" s="12" t="s">
        <v>21</v>
      </c>
    </row>
    <row r="37" spans="2:11" x14ac:dyDescent="0.45">
      <c r="B37" s="148"/>
      <c r="E37" s="102"/>
    </row>
    <row r="38" spans="2:11" x14ac:dyDescent="0.45">
      <c r="B38" s="4" t="s">
        <v>1387</v>
      </c>
      <c r="E38" s="102"/>
    </row>
    <row r="39" spans="2:11" x14ac:dyDescent="0.45">
      <c r="B39" s="465" t="s">
        <v>27</v>
      </c>
      <c r="C39" s="465"/>
      <c r="D39" s="26" t="s">
        <v>76</v>
      </c>
      <c r="E39" s="11" t="s">
        <v>3</v>
      </c>
      <c r="F39" s="11"/>
      <c r="G39" s="11" t="s">
        <v>4</v>
      </c>
      <c r="H39" s="11" t="s">
        <v>3</v>
      </c>
      <c r="I39" s="11"/>
      <c r="J39" s="11" t="s">
        <v>5</v>
      </c>
      <c r="K39" s="11" t="s">
        <v>3</v>
      </c>
    </row>
    <row r="40" spans="2:11" x14ac:dyDescent="0.45">
      <c r="B40" s="457" t="s">
        <v>1175</v>
      </c>
      <c r="C40" s="458"/>
      <c r="D40" s="8"/>
      <c r="E40" s="19" t="s">
        <v>6</v>
      </c>
      <c r="F40" s="11" t="s">
        <v>7</v>
      </c>
      <c r="G40" s="378">
        <f>$C$13</f>
        <v>0.25</v>
      </c>
      <c r="H40" s="11" t="s">
        <v>22</v>
      </c>
      <c r="I40" s="11" t="s">
        <v>20</v>
      </c>
      <c r="J40" s="149" t="str">
        <f t="shared" ref="J40:J48" si="1">IF(D40="","",D40*G40)</f>
        <v/>
      </c>
      <c r="K40" s="11" t="s">
        <v>21</v>
      </c>
    </row>
    <row r="41" spans="2:11" x14ac:dyDescent="0.45">
      <c r="B41" s="459" t="s">
        <v>1176</v>
      </c>
      <c r="C41" s="11" t="s">
        <v>9</v>
      </c>
      <c r="D41" s="8"/>
      <c r="E41" s="19" t="s">
        <v>10</v>
      </c>
      <c r="F41" s="11" t="s">
        <v>7</v>
      </c>
      <c r="G41" s="378">
        <v>2.71</v>
      </c>
      <c r="H41" s="11" t="s">
        <v>23</v>
      </c>
      <c r="I41" s="11" t="s">
        <v>8</v>
      </c>
      <c r="J41" s="368" t="str">
        <f t="shared" si="1"/>
        <v/>
      </c>
      <c r="K41" s="11" t="s">
        <v>21</v>
      </c>
    </row>
    <row r="42" spans="2:11" x14ac:dyDescent="0.45">
      <c r="B42" s="460"/>
      <c r="C42" s="11" t="s">
        <v>11</v>
      </c>
      <c r="D42" s="8"/>
      <c r="E42" s="19" t="s">
        <v>10</v>
      </c>
      <c r="F42" s="11" t="s">
        <v>7</v>
      </c>
      <c r="G42" s="378">
        <v>2.71</v>
      </c>
      <c r="H42" s="11" t="s">
        <v>23</v>
      </c>
      <c r="I42" s="11" t="s">
        <v>8</v>
      </c>
      <c r="J42" s="149" t="str">
        <f t="shared" si="1"/>
        <v/>
      </c>
      <c r="K42" s="11" t="s">
        <v>21</v>
      </c>
    </row>
    <row r="43" spans="2:11" x14ac:dyDescent="0.45">
      <c r="B43" s="460"/>
      <c r="C43" s="11" t="s">
        <v>12</v>
      </c>
      <c r="D43" s="8"/>
      <c r="E43" s="19" t="s">
        <v>10</v>
      </c>
      <c r="F43" s="11" t="s">
        <v>7</v>
      </c>
      <c r="G43" s="378">
        <v>2.4900000000000002</v>
      </c>
      <c r="H43" s="11" t="s">
        <v>23</v>
      </c>
      <c r="I43" s="11" t="s">
        <v>8</v>
      </c>
      <c r="J43" s="149" t="str">
        <f t="shared" si="1"/>
        <v/>
      </c>
      <c r="K43" s="11" t="s">
        <v>21</v>
      </c>
    </row>
    <row r="44" spans="2:11" x14ac:dyDescent="0.45">
      <c r="B44" s="460"/>
      <c r="C44" s="11" t="s">
        <v>13</v>
      </c>
      <c r="D44" s="8"/>
      <c r="E44" s="19" t="s">
        <v>10</v>
      </c>
      <c r="F44" s="11" t="s">
        <v>7</v>
      </c>
      <c r="G44" s="378">
        <v>2.58</v>
      </c>
      <c r="H44" s="11" t="s">
        <v>23</v>
      </c>
      <c r="I44" s="11" t="s">
        <v>8</v>
      </c>
      <c r="J44" s="149" t="str">
        <f t="shared" si="1"/>
        <v/>
      </c>
      <c r="K44" s="11" t="s">
        <v>21</v>
      </c>
    </row>
    <row r="45" spans="2:11" x14ac:dyDescent="0.45">
      <c r="B45" s="460"/>
      <c r="C45" s="11" t="s">
        <v>14</v>
      </c>
      <c r="D45" s="8"/>
      <c r="E45" s="19" t="s">
        <v>10</v>
      </c>
      <c r="F45" s="11" t="s">
        <v>7</v>
      </c>
      <c r="G45" s="378">
        <v>2.3199999999999998</v>
      </c>
      <c r="H45" s="11" t="s">
        <v>23</v>
      </c>
      <c r="I45" s="11" t="s">
        <v>8</v>
      </c>
      <c r="J45" s="149" t="str">
        <f t="shared" si="1"/>
        <v/>
      </c>
      <c r="K45" s="11" t="s">
        <v>21</v>
      </c>
    </row>
    <row r="46" spans="2:11" x14ac:dyDescent="0.45">
      <c r="B46" s="460"/>
      <c r="C46" s="11" t="s">
        <v>15</v>
      </c>
      <c r="D46" s="8"/>
      <c r="E46" s="19" t="s">
        <v>30</v>
      </c>
      <c r="F46" s="11" t="s">
        <v>7</v>
      </c>
      <c r="G46" s="378">
        <v>2.23</v>
      </c>
      <c r="H46" s="21" t="s">
        <v>31</v>
      </c>
      <c r="I46" s="11" t="s">
        <v>8</v>
      </c>
      <c r="J46" s="149" t="str">
        <f t="shared" si="1"/>
        <v/>
      </c>
      <c r="K46" s="11" t="s">
        <v>21</v>
      </c>
    </row>
    <row r="47" spans="2:11" x14ac:dyDescent="0.45">
      <c r="B47" s="460"/>
      <c r="C47" s="11" t="s">
        <v>16</v>
      </c>
      <c r="D47" s="8"/>
      <c r="E47" s="19" t="s">
        <v>30</v>
      </c>
      <c r="F47" s="11" t="s">
        <v>7</v>
      </c>
      <c r="G47" s="378">
        <v>3</v>
      </c>
      <c r="H47" s="11" t="s">
        <v>75</v>
      </c>
      <c r="I47" s="11" t="s">
        <v>8</v>
      </c>
      <c r="J47" s="149" t="str">
        <f t="shared" si="1"/>
        <v/>
      </c>
      <c r="K47" s="11" t="s">
        <v>21</v>
      </c>
    </row>
    <row r="48" spans="2:11" x14ac:dyDescent="0.45">
      <c r="B48" s="460"/>
      <c r="C48" s="11" t="s">
        <v>18</v>
      </c>
      <c r="D48" s="8"/>
      <c r="E48" s="19" t="s">
        <v>17</v>
      </c>
      <c r="F48" s="11" t="s">
        <v>7</v>
      </c>
      <c r="G48" s="378">
        <v>3.17</v>
      </c>
      <c r="H48" s="11" t="s">
        <v>24</v>
      </c>
      <c r="I48" s="11" t="s">
        <v>8</v>
      </c>
      <c r="J48" s="149" t="str">
        <f t="shared" si="1"/>
        <v/>
      </c>
      <c r="K48" s="11" t="s">
        <v>21</v>
      </c>
    </row>
    <row r="49" spans="2:11" x14ac:dyDescent="0.45">
      <c r="B49" s="460"/>
      <c r="C49" s="11" t="s">
        <v>1191</v>
      </c>
      <c r="D49" s="8"/>
      <c r="E49" s="19" t="s">
        <v>19</v>
      </c>
      <c r="F49" s="11" t="s">
        <v>7</v>
      </c>
      <c r="G49" s="378">
        <v>2.3199999999999998</v>
      </c>
      <c r="H49" s="11" t="s">
        <v>25</v>
      </c>
      <c r="I49" s="11" t="s">
        <v>8</v>
      </c>
      <c r="J49" s="149" t="str">
        <f>IF(D49="","",D49*G49)</f>
        <v/>
      </c>
      <c r="K49" s="11" t="s">
        <v>21</v>
      </c>
    </row>
    <row r="50" spans="2:11" ht="36" x14ac:dyDescent="0.45">
      <c r="B50" s="460"/>
      <c r="C50" s="25" t="s">
        <v>1190</v>
      </c>
      <c r="D50" s="8"/>
      <c r="E50" s="8"/>
      <c r="F50" s="11" t="s">
        <v>7</v>
      </c>
      <c r="G50" s="378">
        <v>0.5</v>
      </c>
      <c r="H50" s="8"/>
      <c r="I50" s="11" t="s">
        <v>8</v>
      </c>
      <c r="J50" s="149" t="str">
        <f>IF(D50="","",D50*G50)</f>
        <v/>
      </c>
      <c r="K50" s="11" t="s">
        <v>21</v>
      </c>
    </row>
    <row r="51" spans="2:11" ht="36" x14ac:dyDescent="0.45">
      <c r="B51" s="460"/>
      <c r="C51" s="25" t="s">
        <v>1190</v>
      </c>
      <c r="D51" s="8"/>
      <c r="E51" s="8"/>
      <c r="F51" s="11" t="s">
        <v>7</v>
      </c>
      <c r="G51" s="378">
        <v>0.5</v>
      </c>
      <c r="H51" s="8"/>
      <c r="I51" s="11" t="s">
        <v>8</v>
      </c>
      <c r="J51" s="149" t="str">
        <f>IF(D51="","",D51*G51)</f>
        <v/>
      </c>
      <c r="K51" s="11" t="s">
        <v>21</v>
      </c>
    </row>
    <row r="52" spans="2:11" ht="36" x14ac:dyDescent="0.45">
      <c r="B52" s="461"/>
      <c r="C52" s="25" t="s">
        <v>1190</v>
      </c>
      <c r="D52" s="8"/>
      <c r="E52" s="8"/>
      <c r="F52" s="11" t="s">
        <v>7</v>
      </c>
      <c r="G52" s="378">
        <v>0.5</v>
      </c>
      <c r="H52" s="8"/>
      <c r="I52" s="11" t="s">
        <v>8</v>
      </c>
      <c r="J52" s="149" t="str">
        <f>IF(D52="","",D52*G52)</f>
        <v/>
      </c>
      <c r="K52" s="11" t="s">
        <v>21</v>
      </c>
    </row>
    <row r="53" spans="2:11" x14ac:dyDescent="0.45">
      <c r="B53" s="462" t="s">
        <v>1179</v>
      </c>
      <c r="C53" s="462"/>
      <c r="D53" s="462"/>
      <c r="E53" s="462"/>
      <c r="F53" s="462"/>
      <c r="G53" s="462"/>
      <c r="H53" s="462"/>
      <c r="I53" s="462"/>
      <c r="J53" s="313">
        <f>SUM(J40:J52)</f>
        <v>0</v>
      </c>
      <c r="K53" s="12" t="s">
        <v>21</v>
      </c>
    </row>
  </sheetData>
  <mergeCells count="10">
    <mergeCell ref="F11:R11"/>
    <mergeCell ref="B40:C40"/>
    <mergeCell ref="B41:B52"/>
    <mergeCell ref="B53:I53"/>
    <mergeCell ref="B36:I36"/>
    <mergeCell ref="C14:D14"/>
    <mergeCell ref="B22:C22"/>
    <mergeCell ref="B23:C23"/>
    <mergeCell ref="B24:B35"/>
    <mergeCell ref="B39:C39"/>
  </mergeCells>
  <phoneticPr fontId="2"/>
  <dataValidations count="2">
    <dataValidation type="list" allowBlank="1" showInputMessage="1" showErrorMessage="1" sqref="C11" xr:uid="{A29900CB-C7DA-468D-8548-6FC51482572C}">
      <formula1>"(水処理方式),OD法,高度処理,標準法"</formula1>
    </dataValidation>
    <dataValidation type="list" allowBlank="1" showInputMessage="1" showErrorMessage="1" sqref="C12" xr:uid="{88F295E2-B388-4832-A980-4F03B6A7055A}">
      <formula1>"(焼却設備の有無),焼却あり,焼却なし"</formula1>
    </dataValidation>
  </dataValidations>
  <pageMargins left="0.7" right="0.7" top="0.75" bottom="0.75" header="0.3" footer="0.3"/>
  <pageSetup paperSize="8" scale="66"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792EE-D246-44AA-9A82-9FEBF6BCAF0A}">
  <sheetPr>
    <tabColor theme="5" tint="-0.499984740745262"/>
  </sheetPr>
  <dimension ref="B2:J41"/>
  <sheetViews>
    <sheetView zoomScale="80" zoomScaleNormal="80" workbookViewId="0"/>
  </sheetViews>
  <sheetFormatPr defaultRowHeight="18" x14ac:dyDescent="0.45"/>
  <cols>
    <col min="2" max="2" width="15.59765625" customWidth="1"/>
    <col min="3" max="3" width="22.59765625" customWidth="1"/>
    <col min="4" max="4" width="11" bestFit="1" customWidth="1"/>
    <col min="5" max="5" width="29.59765625" bestFit="1" customWidth="1"/>
    <col min="6" max="6" width="12.5" customWidth="1"/>
    <col min="7" max="7" width="15.8984375" customWidth="1"/>
    <col min="8" max="8" width="22.3984375" customWidth="1"/>
    <col min="9" max="9" width="24" bestFit="1" customWidth="1"/>
    <col min="10" max="10" width="32.59765625" customWidth="1"/>
    <col min="11" max="11" width="14.19921875" customWidth="1"/>
    <col min="12" max="12" width="21.19921875" bestFit="1" customWidth="1"/>
    <col min="13" max="13" width="7.09765625" bestFit="1" customWidth="1"/>
  </cols>
  <sheetData>
    <row r="2" spans="2:10" ht="22.2" x14ac:dyDescent="0.45">
      <c r="B2" s="28" t="s">
        <v>1488</v>
      </c>
      <c r="J2" s="242" t="s">
        <v>1151</v>
      </c>
    </row>
    <row r="3" spans="2:10" x14ac:dyDescent="0.45">
      <c r="B3" s="32" t="s">
        <v>94</v>
      </c>
      <c r="C3" s="33"/>
      <c r="D3" s="33"/>
      <c r="E3" s="33"/>
      <c r="H3" s="18"/>
      <c r="I3" t="s">
        <v>79</v>
      </c>
    </row>
    <row r="4" spans="2:10" x14ac:dyDescent="0.45">
      <c r="B4" s="309" t="s">
        <v>97</v>
      </c>
      <c r="C4" s="310"/>
      <c r="D4" s="310"/>
      <c r="E4" s="310"/>
      <c r="H4" s="7"/>
      <c r="I4" t="s">
        <v>80</v>
      </c>
    </row>
    <row r="5" spans="2:10" x14ac:dyDescent="0.45">
      <c r="H5" s="378"/>
      <c r="I5" t="s">
        <v>1401</v>
      </c>
    </row>
    <row r="6" spans="2:10" x14ac:dyDescent="0.45">
      <c r="H6" s="11"/>
      <c r="I6" t="s">
        <v>81</v>
      </c>
    </row>
    <row r="7" spans="2:10" x14ac:dyDescent="0.45">
      <c r="B7" s="31" t="s">
        <v>1138</v>
      </c>
      <c r="C7" s="4"/>
    </row>
    <row r="8" spans="2:10" x14ac:dyDescent="0.45">
      <c r="B8" s="420" t="s">
        <v>1498</v>
      </c>
      <c r="C8" s="242" t="s">
        <v>1497</v>
      </c>
    </row>
    <row r="9" spans="2:10" x14ac:dyDescent="0.45">
      <c r="B9" s="31"/>
      <c r="C9" s="4"/>
    </row>
    <row r="10" spans="2:10" x14ac:dyDescent="0.45">
      <c r="B10" s="465" t="s">
        <v>152</v>
      </c>
      <c r="C10" s="465"/>
      <c r="D10" s="539" t="s">
        <v>164</v>
      </c>
      <c r="E10" s="540"/>
      <c r="I10" s="4" t="s">
        <v>213</v>
      </c>
    </row>
    <row r="11" spans="2:10" x14ac:dyDescent="0.45">
      <c r="B11" s="465" t="s">
        <v>1499</v>
      </c>
      <c r="C11" s="465"/>
      <c r="D11" s="372"/>
      <c r="E11" s="11" t="s">
        <v>84</v>
      </c>
    </row>
    <row r="12" spans="2:10" x14ac:dyDescent="0.45">
      <c r="B12" s="465" t="s">
        <v>85</v>
      </c>
      <c r="C12" s="465"/>
      <c r="D12" s="8"/>
      <c r="E12" s="11" t="s">
        <v>86</v>
      </c>
      <c r="F12" s="4" t="s">
        <v>124</v>
      </c>
    </row>
    <row r="13" spans="2:10" x14ac:dyDescent="0.45">
      <c r="B13" s="465" t="s">
        <v>91</v>
      </c>
      <c r="C13" s="465"/>
      <c r="D13" s="56">
        <f>(D11*D12/100)</f>
        <v>0</v>
      </c>
      <c r="E13" s="11" t="s">
        <v>84</v>
      </c>
      <c r="F13" s="4"/>
    </row>
    <row r="14" spans="2:10" x14ac:dyDescent="0.45">
      <c r="B14" s="465" t="s">
        <v>70</v>
      </c>
      <c r="C14" s="465"/>
      <c r="D14" s="7">
        <f>ツール入力シート①!C13</f>
        <v>0.25</v>
      </c>
      <c r="E14" s="11" t="s">
        <v>92</v>
      </c>
    </row>
    <row r="15" spans="2:10" x14ac:dyDescent="0.45">
      <c r="B15" s="538" t="s">
        <v>93</v>
      </c>
      <c r="C15" s="538"/>
      <c r="D15" s="312">
        <f>D13*D14</f>
        <v>0</v>
      </c>
      <c r="E15" s="311" t="s">
        <v>21</v>
      </c>
    </row>
    <row r="18" spans="2:9" x14ac:dyDescent="0.45">
      <c r="B18" s="550" t="s">
        <v>125</v>
      </c>
      <c r="C18" s="550"/>
      <c r="D18" s="550"/>
      <c r="E18" s="550"/>
      <c r="F18" s="4"/>
    </row>
    <row r="19" spans="2:9" x14ac:dyDescent="0.45">
      <c r="B19" s="14"/>
      <c r="C19" s="807" t="s">
        <v>1132</v>
      </c>
      <c r="D19" s="807"/>
      <c r="E19" s="808" t="s">
        <v>1133</v>
      </c>
      <c r="F19" s="4"/>
    </row>
    <row r="20" spans="2:9" ht="36" x14ac:dyDescent="0.45">
      <c r="B20" s="14"/>
      <c r="C20" s="231" t="s">
        <v>1137</v>
      </c>
      <c r="D20" s="231" t="s">
        <v>1136</v>
      </c>
      <c r="E20" s="808"/>
      <c r="F20" s="4"/>
    </row>
    <row r="21" spans="2:9" x14ac:dyDescent="0.45">
      <c r="B21" s="14" t="s">
        <v>1135</v>
      </c>
      <c r="C21" s="385">
        <v>912</v>
      </c>
      <c r="D21" s="230">
        <v>1382</v>
      </c>
      <c r="E21" s="14">
        <v>897</v>
      </c>
      <c r="F21" s="4"/>
    </row>
    <row r="22" spans="2:9" x14ac:dyDescent="0.45">
      <c r="B22" s="233" t="s">
        <v>1134</v>
      </c>
      <c r="C22" s="232">
        <f>(C21-E21)/C21*100</f>
        <v>1.6447368421052631</v>
      </c>
      <c r="D22" s="232">
        <f>(D21-E21)/D21*100</f>
        <v>35.094066570188133</v>
      </c>
      <c r="E22" s="77"/>
      <c r="F22" s="4"/>
    </row>
    <row r="23" spans="2:9" x14ac:dyDescent="0.45">
      <c r="B23" s="4" t="s">
        <v>1154</v>
      </c>
      <c r="F23" s="59"/>
    </row>
    <row r="24" spans="2:9" x14ac:dyDescent="0.45">
      <c r="B24" s="4" t="s">
        <v>1526</v>
      </c>
      <c r="F24" s="59"/>
    </row>
    <row r="25" spans="2:9" x14ac:dyDescent="0.45">
      <c r="B25" t="s">
        <v>1131</v>
      </c>
    </row>
    <row r="27" spans="2:9" x14ac:dyDescent="0.45">
      <c r="I27" s="58"/>
    </row>
    <row r="32" spans="2:9" x14ac:dyDescent="0.45">
      <c r="H32" s="3"/>
    </row>
    <row r="33" spans="7:10" x14ac:dyDescent="0.45">
      <c r="H33" s="3"/>
    </row>
    <row r="34" spans="7:10" x14ac:dyDescent="0.45">
      <c r="H34" s="3"/>
    </row>
    <row r="35" spans="7:10" x14ac:dyDescent="0.45">
      <c r="H35" s="3"/>
    </row>
    <row r="36" spans="7:10" x14ac:dyDescent="0.45">
      <c r="H36" s="3"/>
    </row>
    <row r="37" spans="7:10" x14ac:dyDescent="0.45">
      <c r="H37" s="3"/>
    </row>
    <row r="38" spans="7:10" x14ac:dyDescent="0.45">
      <c r="H38" s="3"/>
    </row>
    <row r="39" spans="7:10" x14ac:dyDescent="0.45">
      <c r="H39" s="3"/>
    </row>
    <row r="40" spans="7:10" x14ac:dyDescent="0.45">
      <c r="G40" s="58"/>
      <c r="H40" s="3"/>
      <c r="I40" s="79"/>
      <c r="J40" s="78"/>
    </row>
    <row r="41" spans="7:10" x14ac:dyDescent="0.45">
      <c r="I41" s="40"/>
    </row>
  </sheetData>
  <mergeCells count="10">
    <mergeCell ref="C19:D19"/>
    <mergeCell ref="E19:E20"/>
    <mergeCell ref="B10:C10"/>
    <mergeCell ref="D10:E10"/>
    <mergeCell ref="B11:C11"/>
    <mergeCell ref="B12:C12"/>
    <mergeCell ref="B13:C13"/>
    <mergeCell ref="B14:C14"/>
    <mergeCell ref="B15:C15"/>
    <mergeCell ref="B18:E18"/>
  </mergeCells>
  <phoneticPr fontId="2"/>
  <hyperlinks>
    <hyperlink ref="J2" location="汚泥処理対策シート!A1" display="クリックで対策シートに戻る" xr:uid="{EC51FDF2-A50B-4356-8F0E-8664EF234367}"/>
    <hyperlink ref="C8" r:id="rId1" xr:uid="{C080496D-96BC-435D-9D20-2BC0F188FA01}"/>
  </hyperlinks>
  <pageMargins left="0.7" right="0.7" top="0.75" bottom="0.75" header="0.3" footer="0.3"/>
  <pageSetup paperSize="9" orientation="portrait" r:id="rId2"/>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F1BAC-8B9F-4A37-B3AC-52471799D47E}">
  <sheetPr>
    <tabColor theme="5" tint="-0.499984740745262"/>
    <pageSetUpPr fitToPage="1"/>
  </sheetPr>
  <dimension ref="A1:N278"/>
  <sheetViews>
    <sheetView zoomScale="80" zoomScaleNormal="80" workbookViewId="0"/>
  </sheetViews>
  <sheetFormatPr defaultColWidth="10.5" defaultRowHeight="18" customHeight="1" x14ac:dyDescent="0.45"/>
  <cols>
    <col min="1" max="1" width="5.19921875" style="208" customWidth="1"/>
    <col min="2" max="6" width="11.69921875" style="207" customWidth="1"/>
    <col min="7" max="11" width="11.69921875" style="208" customWidth="1"/>
    <col min="12" max="12" width="18.3984375" style="208" customWidth="1"/>
    <col min="13" max="13" width="11.69921875" style="208" customWidth="1"/>
    <col min="14" max="14" width="39.19921875" style="208" customWidth="1"/>
    <col min="15" max="16384" width="10.5" style="208"/>
  </cols>
  <sheetData>
    <row r="1" spans="2:13" s="148" customFormat="1" x14ac:dyDescent="0.45"/>
    <row r="2" spans="2:13" customFormat="1" ht="22.2" x14ac:dyDescent="0.45">
      <c r="B2" s="28" t="s">
        <v>1489</v>
      </c>
      <c r="L2" s="242" t="s">
        <v>1151</v>
      </c>
    </row>
    <row r="3" spans="2:13" customFormat="1" x14ac:dyDescent="0.45">
      <c r="B3" s="32" t="s">
        <v>94</v>
      </c>
      <c r="C3" s="33"/>
      <c r="D3" s="33"/>
      <c r="E3" s="33"/>
      <c r="G3" s="148"/>
      <c r="L3" s="148"/>
    </row>
    <row r="4" spans="2:13" customFormat="1" x14ac:dyDescent="0.45">
      <c r="B4" s="309" t="s">
        <v>97</v>
      </c>
      <c r="C4" s="310"/>
      <c r="D4" s="310"/>
      <c r="E4" s="310"/>
    </row>
    <row r="5" spans="2:13" customFormat="1" x14ac:dyDescent="0.45"/>
    <row r="6" spans="2:13" customFormat="1" x14ac:dyDescent="0.45">
      <c r="B6" s="31" t="s">
        <v>1142</v>
      </c>
      <c r="C6" s="4"/>
    </row>
    <row r="7" spans="2:13" s="148" customFormat="1" x14ac:dyDescent="0.45">
      <c r="B7" s="31" t="s">
        <v>1143</v>
      </c>
      <c r="H7" s="31"/>
      <c r="I7" s="31"/>
      <c r="M7" s="31"/>
    </row>
    <row r="8" spans="2:13" s="148" customFormat="1" x14ac:dyDescent="0.45">
      <c r="B8" s="31" t="s">
        <v>1437</v>
      </c>
      <c r="H8" s="31"/>
      <c r="I8" s="31"/>
      <c r="M8" s="31"/>
    </row>
    <row r="9" spans="2:13" s="148" customFormat="1" x14ac:dyDescent="0.45">
      <c r="B9" s="31"/>
      <c r="H9" s="31"/>
      <c r="I9" s="31"/>
      <c r="M9" s="31"/>
    </row>
    <row r="10" spans="2:13" s="148" customFormat="1" x14ac:dyDescent="0.45">
      <c r="B10" s="31"/>
      <c r="H10" s="31"/>
      <c r="I10" s="31"/>
      <c r="M10" s="31"/>
    </row>
    <row r="11" spans="2:13" s="148" customFormat="1" x14ac:dyDescent="0.45">
      <c r="B11" s="31" t="s">
        <v>1145</v>
      </c>
      <c r="H11" s="31"/>
      <c r="I11" s="31"/>
      <c r="M11" s="31"/>
    </row>
    <row r="12" spans="2:13" s="148" customFormat="1" x14ac:dyDescent="0.45">
      <c r="B12" s="538" t="s">
        <v>93</v>
      </c>
      <c r="C12" s="538"/>
      <c r="D12" s="312"/>
      <c r="E12" s="311" t="s">
        <v>21</v>
      </c>
      <c r="H12" s="31"/>
      <c r="I12" s="31"/>
      <c r="M12" s="31"/>
    </row>
    <row r="13" spans="2:13" s="148" customFormat="1" x14ac:dyDescent="0.45">
      <c r="B13" s="31"/>
      <c r="H13" s="31"/>
      <c r="I13" s="31"/>
      <c r="M13" s="31"/>
    </row>
    <row r="14" spans="2:13" s="148" customFormat="1" x14ac:dyDescent="0.45">
      <c r="B14" s="31"/>
      <c r="I14" s="31"/>
    </row>
    <row r="15" spans="2:13" s="148" customFormat="1" x14ac:dyDescent="0.45">
      <c r="B15" s="31" t="s">
        <v>513</v>
      </c>
      <c r="I15" s="31"/>
    </row>
    <row r="16" spans="2:13" s="148" customFormat="1" x14ac:dyDescent="0.45">
      <c r="B16" s="31"/>
      <c r="I16" s="31"/>
    </row>
    <row r="17" spans="2:11" s="148" customFormat="1" x14ac:dyDescent="0.45">
      <c r="B17" s="31"/>
      <c r="I17" s="31"/>
    </row>
    <row r="18" spans="2:11" s="148" customFormat="1" x14ac:dyDescent="0.45">
      <c r="B18" s="31"/>
      <c r="I18" s="31"/>
    </row>
    <row r="19" spans="2:11" s="148" customFormat="1" x14ac:dyDescent="0.45">
      <c r="B19" s="31"/>
      <c r="I19" s="31"/>
    </row>
    <row r="20" spans="2:11" s="148" customFormat="1" x14ac:dyDescent="0.45">
      <c r="B20" s="31"/>
      <c r="I20" s="31"/>
    </row>
    <row r="21" spans="2:11" s="148" customFormat="1" x14ac:dyDescent="0.45">
      <c r="B21" s="31"/>
      <c r="I21" s="31"/>
    </row>
    <row r="22" spans="2:11" s="148" customFormat="1" x14ac:dyDescent="0.45">
      <c r="B22" s="31"/>
      <c r="I22" s="31"/>
    </row>
    <row r="23" spans="2:11" s="148" customFormat="1" x14ac:dyDescent="0.45">
      <c r="B23" s="31"/>
      <c r="I23" s="31"/>
    </row>
    <row r="27" spans="2:11" ht="18" customHeight="1" x14ac:dyDescent="0.45">
      <c r="H27" s="148"/>
      <c r="I27"/>
    </row>
    <row r="28" spans="2:11" ht="18" customHeight="1" x14ac:dyDescent="0.45">
      <c r="H28"/>
      <c r="I28"/>
    </row>
    <row r="29" spans="2:11" ht="18" customHeight="1" x14ac:dyDescent="0.45">
      <c r="H29"/>
      <c r="I29"/>
    </row>
    <row r="30" spans="2:11" ht="18" customHeight="1" x14ac:dyDescent="0.45">
      <c r="H30"/>
      <c r="I30"/>
      <c r="J30" s="18"/>
      <c r="K30" t="s">
        <v>79</v>
      </c>
    </row>
    <row r="31" spans="2:11" ht="18" customHeight="1" x14ac:dyDescent="0.45">
      <c r="H31" s="148"/>
      <c r="I31" s="31"/>
      <c r="J31" s="7"/>
      <c r="K31" t="s">
        <v>80</v>
      </c>
    </row>
    <row r="32" spans="2:11" ht="18" customHeight="1" x14ac:dyDescent="0.45">
      <c r="J32" s="378"/>
      <c r="K32" t="s">
        <v>1401</v>
      </c>
    </row>
    <row r="33" spans="1:14" ht="18" customHeight="1" x14ac:dyDescent="0.45">
      <c r="J33" s="11"/>
      <c r="K33" t="s">
        <v>81</v>
      </c>
    </row>
    <row r="34" spans="1:14" ht="18" customHeight="1" x14ac:dyDescent="0.45">
      <c r="J34" s="157"/>
      <c r="K34" t="s">
        <v>1144</v>
      </c>
    </row>
    <row r="35" spans="1:14" ht="18" customHeight="1" x14ac:dyDescent="0.45">
      <c r="A35" s="206" t="s">
        <v>884</v>
      </c>
      <c r="J35" s="148"/>
      <c r="K35" s="31" t="s">
        <v>1148</v>
      </c>
    </row>
    <row r="37" spans="1:14" ht="18" customHeight="1" x14ac:dyDescent="0.45">
      <c r="A37" s="809" t="s">
        <v>885</v>
      </c>
      <c r="B37" s="812" t="s">
        <v>886</v>
      </c>
      <c r="C37" s="812"/>
      <c r="D37" s="812"/>
      <c r="E37" s="812"/>
      <c r="F37" s="812"/>
      <c r="G37" s="235" t="s">
        <v>887</v>
      </c>
      <c r="H37" s="813"/>
      <c r="I37" s="814"/>
      <c r="J37" s="236" t="s">
        <v>888</v>
      </c>
      <c r="K37" s="815" t="s">
        <v>889</v>
      </c>
      <c r="L37" s="815"/>
      <c r="N37" s="816" t="s">
        <v>890</v>
      </c>
    </row>
    <row r="38" spans="1:14" ht="18" customHeight="1" x14ac:dyDescent="0.45">
      <c r="A38" s="810"/>
      <c r="B38" s="812" t="s">
        <v>891</v>
      </c>
      <c r="C38" s="812"/>
      <c r="D38" s="812"/>
      <c r="E38" s="812"/>
      <c r="F38" s="812"/>
      <c r="G38" s="235" t="s">
        <v>887</v>
      </c>
      <c r="H38" s="817">
        <f>H37*0.9</f>
        <v>0</v>
      </c>
      <c r="I38" s="818"/>
      <c r="J38" s="236" t="s">
        <v>892</v>
      </c>
      <c r="K38" s="819" t="s">
        <v>889</v>
      </c>
      <c r="L38" s="820"/>
      <c r="N38" s="816"/>
    </row>
    <row r="39" spans="1:14" ht="18" customHeight="1" x14ac:dyDescent="0.45">
      <c r="A39" s="810"/>
      <c r="B39" s="821" t="s">
        <v>893</v>
      </c>
      <c r="C39" s="822"/>
      <c r="D39" s="825" t="s">
        <v>894</v>
      </c>
      <c r="E39" s="826"/>
      <c r="F39" s="827"/>
      <c r="G39" s="235" t="s">
        <v>887</v>
      </c>
      <c r="H39" s="817">
        <f>H38</f>
        <v>0</v>
      </c>
      <c r="I39" s="818"/>
      <c r="J39" s="236" t="s">
        <v>895</v>
      </c>
      <c r="K39" s="819" t="s">
        <v>889</v>
      </c>
      <c r="L39" s="820"/>
      <c r="N39" s="816"/>
    </row>
    <row r="40" spans="1:14" ht="18" customHeight="1" x14ac:dyDescent="0.45">
      <c r="A40" s="810"/>
      <c r="B40" s="823"/>
      <c r="C40" s="824"/>
      <c r="D40" s="825" t="s">
        <v>896</v>
      </c>
      <c r="E40" s="826"/>
      <c r="F40" s="827"/>
      <c r="G40" s="235" t="s">
        <v>887</v>
      </c>
      <c r="H40" s="817">
        <f>H38*0.8*(1-0.55)+H38*(1-0.8)</f>
        <v>0</v>
      </c>
      <c r="I40" s="818"/>
      <c r="J40" s="236" t="s">
        <v>895</v>
      </c>
      <c r="K40" s="819" t="s">
        <v>889</v>
      </c>
      <c r="L40" s="820"/>
      <c r="N40" s="816"/>
    </row>
    <row r="41" spans="1:14" ht="18" customHeight="1" x14ac:dyDescent="0.45">
      <c r="A41" s="810"/>
      <c r="B41" s="812" t="s">
        <v>897</v>
      </c>
      <c r="C41" s="812"/>
      <c r="D41" s="812"/>
      <c r="E41" s="812"/>
      <c r="F41" s="812"/>
      <c r="G41" s="235" t="s">
        <v>898</v>
      </c>
      <c r="H41" s="817">
        <f>H38*0.01*0.8*500/24</f>
        <v>0</v>
      </c>
      <c r="I41" s="818"/>
      <c r="J41" s="236" t="s">
        <v>899</v>
      </c>
      <c r="K41" s="815" t="s">
        <v>900</v>
      </c>
      <c r="L41" s="815"/>
      <c r="N41" s="816"/>
    </row>
    <row r="42" spans="1:14" ht="18" customHeight="1" x14ac:dyDescent="0.45">
      <c r="A42" s="810"/>
      <c r="B42" s="812" t="s">
        <v>901</v>
      </c>
      <c r="C42" s="812"/>
      <c r="D42" s="812"/>
      <c r="E42" s="812"/>
      <c r="F42" s="812"/>
      <c r="G42" s="235" t="s">
        <v>902</v>
      </c>
      <c r="H42" s="817">
        <f>H38*0.01*0.8*500/2</f>
        <v>0</v>
      </c>
      <c r="I42" s="818"/>
      <c r="J42" s="236" t="s">
        <v>903</v>
      </c>
      <c r="K42" s="815" t="s">
        <v>904</v>
      </c>
      <c r="L42" s="815"/>
      <c r="N42" s="816"/>
    </row>
    <row r="43" spans="1:14" ht="18" customHeight="1" x14ac:dyDescent="0.45">
      <c r="A43" s="811"/>
      <c r="B43" s="812" t="s">
        <v>905</v>
      </c>
      <c r="C43" s="812"/>
      <c r="D43" s="812"/>
      <c r="E43" s="812"/>
      <c r="F43" s="812"/>
      <c r="G43" s="235" t="s">
        <v>906</v>
      </c>
      <c r="H43" s="817">
        <f>ROUNDUP(H38*0.01*0.8*500*21.5*0.32*1000/3600/24/25,0)*25</f>
        <v>0</v>
      </c>
      <c r="I43" s="818"/>
      <c r="J43" s="236" t="s">
        <v>907</v>
      </c>
      <c r="K43" s="815"/>
      <c r="L43" s="815"/>
      <c r="N43" s="816"/>
    </row>
    <row r="44" spans="1:14" ht="18" customHeight="1" x14ac:dyDescent="0.45">
      <c r="A44" s="831" t="s">
        <v>908</v>
      </c>
      <c r="B44" s="812" t="s">
        <v>909</v>
      </c>
      <c r="C44" s="812"/>
      <c r="D44" s="812"/>
      <c r="E44" s="812"/>
      <c r="F44" s="812"/>
      <c r="G44" s="235" t="s">
        <v>910</v>
      </c>
      <c r="H44" s="833">
        <f>H37*0.01</f>
        <v>0</v>
      </c>
      <c r="I44" s="834"/>
      <c r="J44" s="236" t="s">
        <v>911</v>
      </c>
      <c r="K44" s="815" t="s">
        <v>912</v>
      </c>
      <c r="L44" s="815"/>
      <c r="N44" s="816"/>
    </row>
    <row r="45" spans="1:14" ht="18" customHeight="1" x14ac:dyDescent="0.45">
      <c r="A45" s="832"/>
      <c r="B45" s="812" t="s">
        <v>913</v>
      </c>
      <c r="C45" s="812"/>
      <c r="D45" s="812"/>
      <c r="E45" s="812"/>
      <c r="F45" s="812"/>
      <c r="G45" s="235" t="s">
        <v>914</v>
      </c>
      <c r="H45" s="817">
        <f>H44*0.95*0.8*500</f>
        <v>0</v>
      </c>
      <c r="I45" s="818"/>
      <c r="J45" s="236" t="s">
        <v>915</v>
      </c>
      <c r="K45" s="815" t="s">
        <v>916</v>
      </c>
      <c r="L45" s="815"/>
      <c r="N45" s="816"/>
    </row>
    <row r="46" spans="1:14" ht="18" customHeight="1" x14ac:dyDescent="0.45">
      <c r="A46" s="832"/>
      <c r="B46" s="812" t="s">
        <v>893</v>
      </c>
      <c r="C46" s="812"/>
      <c r="D46" s="812"/>
      <c r="E46" s="812"/>
      <c r="F46" s="812"/>
      <c r="G46" s="235" t="s">
        <v>887</v>
      </c>
      <c r="H46" s="817">
        <f>H44/0.01*0.95*0.8*(1-0.55)+H44/0.01*0.95*(1-0.8)</f>
        <v>0</v>
      </c>
      <c r="I46" s="818"/>
      <c r="J46" s="236" t="s">
        <v>895</v>
      </c>
      <c r="K46" s="819" t="s">
        <v>889</v>
      </c>
      <c r="L46" s="820"/>
      <c r="N46" s="816"/>
    </row>
    <row r="47" spans="1:14" ht="18" customHeight="1" x14ac:dyDescent="0.45">
      <c r="B47" s="208"/>
      <c r="C47" s="208"/>
      <c r="D47" s="208"/>
      <c r="E47" s="208"/>
      <c r="F47" s="208"/>
      <c r="G47" s="207"/>
      <c r="K47" s="211"/>
      <c r="L47" s="211"/>
      <c r="N47" s="816"/>
    </row>
    <row r="48" spans="1:14" ht="18" customHeight="1" x14ac:dyDescent="0.45">
      <c r="B48" s="828" t="s">
        <v>917</v>
      </c>
      <c r="C48" s="828"/>
      <c r="D48" s="828"/>
      <c r="E48" s="828"/>
      <c r="F48" s="828"/>
      <c r="G48" s="207"/>
      <c r="K48" s="211"/>
      <c r="L48" s="211"/>
      <c r="N48" s="816"/>
    </row>
    <row r="49" spans="2:14" ht="18" customHeight="1" x14ac:dyDescent="0.45">
      <c r="B49" s="812" t="s">
        <v>918</v>
      </c>
      <c r="C49" s="812"/>
      <c r="D49" s="812"/>
      <c r="E49" s="812"/>
      <c r="F49" s="812"/>
      <c r="G49" s="237" t="s">
        <v>919</v>
      </c>
      <c r="H49" s="829">
        <v>16.5</v>
      </c>
      <c r="I49" s="829"/>
      <c r="J49" s="235" t="s">
        <v>920</v>
      </c>
      <c r="K49" s="830"/>
      <c r="L49" s="830"/>
      <c r="N49" s="816"/>
    </row>
    <row r="50" spans="2:14" ht="18" customHeight="1" x14ac:dyDescent="0.45">
      <c r="B50" s="812" t="s">
        <v>921</v>
      </c>
      <c r="C50" s="812"/>
      <c r="D50" s="812"/>
      <c r="E50" s="812"/>
      <c r="F50" s="812"/>
      <c r="G50" s="237" t="s">
        <v>922</v>
      </c>
      <c r="H50" s="829">
        <v>566</v>
      </c>
      <c r="I50" s="829"/>
      <c r="J50" s="235" t="s">
        <v>923</v>
      </c>
      <c r="K50" s="830"/>
      <c r="L50" s="830"/>
      <c r="N50" s="816"/>
    </row>
    <row r="51" spans="2:14" ht="18" customHeight="1" x14ac:dyDescent="0.45">
      <c r="B51" s="812" t="s">
        <v>924</v>
      </c>
      <c r="C51" s="812"/>
      <c r="D51" s="812"/>
      <c r="E51" s="812"/>
      <c r="F51" s="812"/>
      <c r="G51" s="237" t="s">
        <v>925</v>
      </c>
      <c r="H51" s="829">
        <v>309.10000000000002</v>
      </c>
      <c r="I51" s="829"/>
      <c r="J51" s="235" t="s">
        <v>926</v>
      </c>
      <c r="K51" s="830"/>
      <c r="L51" s="830"/>
      <c r="N51" s="816"/>
    </row>
    <row r="52" spans="2:14" ht="18" customHeight="1" x14ac:dyDescent="0.45">
      <c r="B52" s="812" t="s">
        <v>927</v>
      </c>
      <c r="C52" s="812"/>
      <c r="D52" s="812"/>
      <c r="E52" s="812"/>
      <c r="F52" s="812"/>
      <c r="G52" s="237" t="s">
        <v>922</v>
      </c>
      <c r="H52" s="829">
        <v>38.9</v>
      </c>
      <c r="I52" s="829"/>
      <c r="J52" s="235" t="s">
        <v>928</v>
      </c>
      <c r="K52" s="830"/>
      <c r="L52" s="830"/>
      <c r="N52" s="816"/>
    </row>
    <row r="53" spans="2:14" ht="18" customHeight="1" x14ac:dyDescent="0.45">
      <c r="B53" s="812" t="s">
        <v>929</v>
      </c>
      <c r="C53" s="812"/>
      <c r="D53" s="812"/>
      <c r="E53" s="812"/>
      <c r="F53" s="812"/>
      <c r="G53" s="237" t="s">
        <v>930</v>
      </c>
      <c r="H53" s="835">
        <v>7</v>
      </c>
      <c r="I53" s="835"/>
      <c r="J53" s="235" t="s">
        <v>931</v>
      </c>
      <c r="K53" s="830"/>
      <c r="L53" s="830"/>
      <c r="N53" s="816"/>
    </row>
    <row r="54" spans="2:14" ht="18" customHeight="1" x14ac:dyDescent="0.45">
      <c r="B54" s="812" t="s">
        <v>932</v>
      </c>
      <c r="C54" s="812"/>
      <c r="D54" s="812"/>
      <c r="E54" s="812"/>
      <c r="F54" s="812"/>
      <c r="G54" s="237" t="s">
        <v>933</v>
      </c>
      <c r="H54" s="836">
        <v>22000</v>
      </c>
      <c r="I54" s="836"/>
      <c r="J54" s="235" t="s">
        <v>934</v>
      </c>
      <c r="K54" s="830"/>
      <c r="L54" s="830"/>
      <c r="N54" s="816"/>
    </row>
    <row r="55" spans="2:14" ht="18" customHeight="1" x14ac:dyDescent="0.45">
      <c r="B55" s="208"/>
      <c r="C55" s="208"/>
      <c r="D55" s="208"/>
      <c r="E55" s="208"/>
      <c r="F55" s="208"/>
      <c r="G55" s="213"/>
      <c r="K55" s="211"/>
      <c r="L55" s="211"/>
      <c r="N55" s="816"/>
    </row>
    <row r="56" spans="2:14" ht="18" customHeight="1" x14ac:dyDescent="0.45">
      <c r="B56" s="208" t="s">
        <v>935</v>
      </c>
      <c r="C56" s="208"/>
      <c r="D56" s="208"/>
      <c r="E56" s="208"/>
      <c r="F56" s="208"/>
      <c r="G56" s="213"/>
      <c r="K56" s="211"/>
      <c r="L56" s="211"/>
      <c r="N56" s="816"/>
    </row>
    <row r="57" spans="2:14" ht="18" customHeight="1" x14ac:dyDescent="0.45">
      <c r="B57" s="812" t="s">
        <v>918</v>
      </c>
      <c r="C57" s="812"/>
      <c r="D57" s="812"/>
      <c r="E57" s="812"/>
      <c r="F57" s="812"/>
      <c r="G57" s="237" t="s">
        <v>936</v>
      </c>
      <c r="H57" s="838">
        <v>2.5000000000000001E-4</v>
      </c>
      <c r="I57" s="838"/>
      <c r="J57" s="235" t="s">
        <v>937</v>
      </c>
      <c r="K57" s="830"/>
      <c r="L57" s="830"/>
      <c r="N57" s="816"/>
    </row>
    <row r="58" spans="2:14" ht="18" customHeight="1" x14ac:dyDescent="0.45">
      <c r="B58" s="812" t="s">
        <v>938</v>
      </c>
      <c r="C58" s="812"/>
      <c r="D58" s="812"/>
      <c r="E58" s="812"/>
      <c r="F58" s="812"/>
      <c r="G58" s="237" t="s">
        <v>939</v>
      </c>
      <c r="H58" s="838">
        <v>6.5</v>
      </c>
      <c r="I58" s="838"/>
      <c r="J58" s="235" t="s">
        <v>940</v>
      </c>
      <c r="K58" s="830"/>
      <c r="L58" s="830"/>
      <c r="N58" s="816"/>
    </row>
    <row r="59" spans="2:14" ht="18" customHeight="1" x14ac:dyDescent="0.45">
      <c r="B59" s="812" t="s">
        <v>924</v>
      </c>
      <c r="C59" s="812"/>
      <c r="D59" s="812"/>
      <c r="E59" s="812"/>
      <c r="F59" s="812"/>
      <c r="G59" s="237" t="s">
        <v>941</v>
      </c>
      <c r="H59" s="837">
        <v>2E-3</v>
      </c>
      <c r="I59" s="837"/>
      <c r="J59" s="235" t="s">
        <v>942</v>
      </c>
      <c r="K59" s="830"/>
      <c r="L59" s="830"/>
      <c r="N59" s="816"/>
    </row>
    <row r="60" spans="2:14" ht="18" customHeight="1" x14ac:dyDescent="0.45">
      <c r="B60" s="812" t="s">
        <v>927</v>
      </c>
      <c r="C60" s="812"/>
      <c r="D60" s="812"/>
      <c r="E60" s="812"/>
      <c r="F60" s="812"/>
      <c r="G60" s="237" t="s">
        <v>939</v>
      </c>
      <c r="H60" s="838">
        <v>3.0800000000000001E-2</v>
      </c>
      <c r="I60" s="838"/>
      <c r="J60" s="235" t="s">
        <v>943</v>
      </c>
      <c r="K60" s="830"/>
      <c r="L60" s="830"/>
      <c r="N60" s="816"/>
    </row>
    <row r="61" spans="2:14" ht="18" customHeight="1" x14ac:dyDescent="0.45">
      <c r="B61" s="812" t="s">
        <v>944</v>
      </c>
      <c r="C61" s="812"/>
      <c r="D61" s="812"/>
      <c r="E61" s="812"/>
      <c r="F61" s="812"/>
      <c r="G61" s="237" t="s">
        <v>939</v>
      </c>
      <c r="H61" s="838">
        <v>0.26</v>
      </c>
      <c r="I61" s="838"/>
      <c r="J61" s="235" t="s">
        <v>945</v>
      </c>
      <c r="K61" s="830"/>
      <c r="L61" s="830"/>
      <c r="N61" s="816"/>
    </row>
    <row r="62" spans="2:14" ht="18" customHeight="1" x14ac:dyDescent="0.45">
      <c r="B62" s="812" t="s">
        <v>946</v>
      </c>
      <c r="C62" s="812"/>
      <c r="D62" s="812"/>
      <c r="E62" s="812"/>
      <c r="F62" s="812"/>
      <c r="G62" s="237" t="s">
        <v>947</v>
      </c>
      <c r="H62" s="838">
        <v>2.3199999999999998</v>
      </c>
      <c r="I62" s="838"/>
      <c r="J62" s="235" t="s">
        <v>948</v>
      </c>
      <c r="K62" s="830"/>
      <c r="L62" s="830"/>
      <c r="N62" s="816"/>
    </row>
    <row r="63" spans="2:14" ht="18" customHeight="1" x14ac:dyDescent="0.45">
      <c r="B63" s="208"/>
      <c r="C63" s="208"/>
      <c r="D63" s="208"/>
      <c r="E63" s="208"/>
      <c r="F63" s="208"/>
      <c r="G63" s="207"/>
      <c r="K63" s="211"/>
      <c r="L63" s="211"/>
      <c r="N63" s="816"/>
    </row>
    <row r="64" spans="2:14" ht="18" customHeight="1" x14ac:dyDescent="0.45">
      <c r="B64" s="208" t="s">
        <v>949</v>
      </c>
      <c r="C64" s="208"/>
      <c r="D64" s="208"/>
      <c r="E64" s="208"/>
      <c r="F64" s="208"/>
      <c r="G64" s="207"/>
      <c r="K64" s="211"/>
      <c r="L64" s="211"/>
      <c r="N64" s="214"/>
    </row>
    <row r="65" spans="1:14" ht="18" customHeight="1" x14ac:dyDescent="0.45">
      <c r="B65" s="839" t="s">
        <v>950</v>
      </c>
      <c r="C65" s="840"/>
      <c r="D65" s="840"/>
      <c r="E65" s="840"/>
      <c r="F65" s="841"/>
      <c r="G65" s="235" t="s">
        <v>951</v>
      </c>
      <c r="H65" s="839" t="s">
        <v>952</v>
      </c>
      <c r="I65" s="840"/>
      <c r="J65" s="841"/>
      <c r="K65" s="211"/>
      <c r="L65" s="211"/>
      <c r="N65" s="214"/>
    </row>
    <row r="66" spans="1:14" ht="18" customHeight="1" x14ac:dyDescent="0.45">
      <c r="B66" s="825" t="s">
        <v>953</v>
      </c>
      <c r="C66" s="826"/>
      <c r="D66" s="826"/>
      <c r="E66" s="826"/>
      <c r="F66" s="827"/>
      <c r="G66" s="235" t="s">
        <v>954</v>
      </c>
      <c r="H66" s="235" t="s">
        <v>955</v>
      </c>
      <c r="I66" s="235" t="s">
        <v>956</v>
      </c>
      <c r="J66" s="842">
        <v>110.5</v>
      </c>
      <c r="K66" s="211"/>
      <c r="L66" s="211"/>
      <c r="N66" s="214"/>
    </row>
    <row r="67" spans="1:14" ht="18" customHeight="1" x14ac:dyDescent="0.45">
      <c r="B67" s="825" t="s">
        <v>957</v>
      </c>
      <c r="C67" s="826"/>
      <c r="D67" s="826"/>
      <c r="E67" s="826"/>
      <c r="F67" s="827"/>
      <c r="G67" s="235" t="s">
        <v>954</v>
      </c>
      <c r="H67" s="235" t="s">
        <v>958</v>
      </c>
      <c r="I67" s="235" t="s">
        <v>956</v>
      </c>
      <c r="J67" s="843"/>
      <c r="K67" s="211"/>
      <c r="L67" s="211"/>
      <c r="N67" s="214"/>
    </row>
    <row r="68" spans="1:14" ht="18" customHeight="1" x14ac:dyDescent="0.45">
      <c r="B68" s="825" t="s">
        <v>959</v>
      </c>
      <c r="C68" s="826"/>
      <c r="D68" s="826"/>
      <c r="E68" s="826"/>
      <c r="F68" s="827"/>
      <c r="G68" s="235" t="s">
        <v>954</v>
      </c>
      <c r="H68" s="235" t="s">
        <v>960</v>
      </c>
      <c r="I68" s="235" t="s">
        <v>956</v>
      </c>
      <c r="J68" s="844"/>
      <c r="K68" s="211"/>
      <c r="L68" s="211"/>
      <c r="N68" s="214"/>
    </row>
    <row r="69" spans="1:14" ht="18" customHeight="1" x14ac:dyDescent="0.45">
      <c r="B69" s="208"/>
      <c r="C69" s="208"/>
      <c r="D69" s="208"/>
      <c r="E69" s="208"/>
      <c r="F69" s="208"/>
      <c r="G69" s="207"/>
      <c r="K69" s="211"/>
      <c r="L69" s="211"/>
      <c r="N69" s="214"/>
    </row>
    <row r="70" spans="1:14" ht="18" customHeight="1" x14ac:dyDescent="0.45">
      <c r="B70" s="208" t="s">
        <v>961</v>
      </c>
      <c r="C70" s="208"/>
      <c r="D70" s="208"/>
      <c r="E70" s="208"/>
      <c r="F70" s="208"/>
      <c r="G70" s="207"/>
      <c r="K70" s="211"/>
      <c r="L70" s="211"/>
      <c r="N70" s="214"/>
    </row>
    <row r="71" spans="1:14" ht="18" customHeight="1" x14ac:dyDescent="0.45">
      <c r="B71" s="825" t="s">
        <v>962</v>
      </c>
      <c r="C71" s="826"/>
      <c r="D71" s="826"/>
      <c r="E71" s="826"/>
      <c r="F71" s="827"/>
      <c r="G71" s="238" t="s">
        <v>963</v>
      </c>
      <c r="H71" s="848">
        <v>2.2999999999999998</v>
      </c>
      <c r="I71" s="849"/>
      <c r="J71" s="235" t="s">
        <v>964</v>
      </c>
      <c r="K71" s="211"/>
      <c r="L71" s="211"/>
      <c r="N71" s="214"/>
    </row>
    <row r="72" spans="1:14" ht="18" customHeight="1" x14ac:dyDescent="0.45">
      <c r="B72" s="852" t="s">
        <v>965</v>
      </c>
      <c r="C72" s="855" t="s">
        <v>966</v>
      </c>
      <c r="D72" s="239" t="s">
        <v>967</v>
      </c>
      <c r="E72" s="240"/>
      <c r="F72" s="241"/>
      <c r="G72" s="845" t="s">
        <v>968</v>
      </c>
      <c r="H72" s="848">
        <v>20</v>
      </c>
      <c r="I72" s="849"/>
      <c r="J72" s="845" t="s">
        <v>969</v>
      </c>
      <c r="K72" s="211"/>
      <c r="L72" s="211"/>
      <c r="N72" s="214"/>
    </row>
    <row r="73" spans="1:14" ht="18" customHeight="1" x14ac:dyDescent="0.45">
      <c r="B73" s="853"/>
      <c r="C73" s="856"/>
      <c r="D73" s="239" t="s">
        <v>970</v>
      </c>
      <c r="E73" s="240"/>
      <c r="F73" s="241"/>
      <c r="G73" s="846"/>
      <c r="H73" s="848">
        <v>15</v>
      </c>
      <c r="I73" s="849"/>
      <c r="J73" s="846"/>
      <c r="K73" s="211"/>
      <c r="L73" s="211"/>
      <c r="N73" s="214"/>
    </row>
    <row r="74" spans="1:14" ht="18" customHeight="1" x14ac:dyDescent="0.45">
      <c r="B74" s="853"/>
      <c r="C74" s="857"/>
      <c r="D74" s="239" t="s">
        <v>971</v>
      </c>
      <c r="E74" s="240"/>
      <c r="F74" s="241"/>
      <c r="G74" s="846"/>
      <c r="H74" s="848">
        <v>45</v>
      </c>
      <c r="I74" s="849"/>
      <c r="J74" s="846"/>
      <c r="K74" s="211"/>
      <c r="L74" s="211"/>
      <c r="N74" s="214"/>
    </row>
    <row r="75" spans="1:14" ht="18" customHeight="1" x14ac:dyDescent="0.45">
      <c r="B75" s="853"/>
      <c r="C75" s="850" t="s">
        <v>972</v>
      </c>
      <c r="D75" s="239" t="s">
        <v>973</v>
      </c>
      <c r="E75" s="240"/>
      <c r="F75" s="241"/>
      <c r="G75" s="846"/>
      <c r="H75" s="848">
        <v>15</v>
      </c>
      <c r="I75" s="849"/>
      <c r="J75" s="846"/>
      <c r="K75" s="211"/>
      <c r="L75" s="211"/>
      <c r="N75" s="214"/>
    </row>
    <row r="76" spans="1:14" ht="18" customHeight="1" x14ac:dyDescent="0.45">
      <c r="B76" s="854"/>
      <c r="C76" s="851"/>
      <c r="D76" s="239" t="s">
        <v>971</v>
      </c>
      <c r="E76" s="240"/>
      <c r="F76" s="241"/>
      <c r="G76" s="847"/>
      <c r="H76" s="848">
        <v>50</v>
      </c>
      <c r="I76" s="849"/>
      <c r="J76" s="847"/>
      <c r="K76" s="211"/>
      <c r="L76" s="211"/>
      <c r="N76" s="214"/>
    </row>
    <row r="77" spans="1:14" ht="18" customHeight="1" x14ac:dyDescent="0.45">
      <c r="K77" s="211"/>
      <c r="L77" s="211"/>
      <c r="N77" s="214"/>
    </row>
    <row r="78" spans="1:14" ht="18" customHeight="1" x14ac:dyDescent="0.45">
      <c r="K78" s="211"/>
      <c r="L78" s="211"/>
      <c r="N78" s="214"/>
    </row>
    <row r="79" spans="1:14" ht="18" customHeight="1" x14ac:dyDescent="0.45">
      <c r="A79" s="206" t="s">
        <v>974</v>
      </c>
    </row>
    <row r="80" spans="1:14" ht="18" customHeight="1" x14ac:dyDescent="0.45">
      <c r="K80" s="211"/>
      <c r="L80" s="211"/>
      <c r="N80" s="214"/>
    </row>
    <row r="81" spans="11:14" ht="18" customHeight="1" x14ac:dyDescent="0.45">
      <c r="K81" s="211"/>
      <c r="L81" s="211"/>
      <c r="N81" s="214"/>
    </row>
    <row r="82" spans="11:14" ht="18" customHeight="1" x14ac:dyDescent="0.45">
      <c r="K82" s="211"/>
      <c r="L82" s="211"/>
      <c r="N82" s="214"/>
    </row>
    <row r="83" spans="11:14" ht="18" customHeight="1" x14ac:dyDescent="0.45">
      <c r="K83" s="211"/>
      <c r="L83" s="211"/>
      <c r="N83" s="214"/>
    </row>
    <row r="84" spans="11:14" ht="18" customHeight="1" x14ac:dyDescent="0.45">
      <c r="K84" s="211"/>
      <c r="L84" s="211"/>
      <c r="N84" s="214"/>
    </row>
    <row r="85" spans="11:14" ht="18" customHeight="1" x14ac:dyDescent="0.45">
      <c r="K85" s="211"/>
      <c r="L85" s="211"/>
      <c r="N85" s="214"/>
    </row>
    <row r="86" spans="11:14" ht="18" customHeight="1" x14ac:dyDescent="0.45">
      <c r="K86" s="211"/>
      <c r="L86" s="211"/>
      <c r="N86" s="214"/>
    </row>
    <row r="87" spans="11:14" ht="18" customHeight="1" x14ac:dyDescent="0.45">
      <c r="K87" s="211"/>
      <c r="L87" s="211"/>
      <c r="N87" s="214"/>
    </row>
    <row r="88" spans="11:14" ht="18" customHeight="1" x14ac:dyDescent="0.45">
      <c r="K88" s="211"/>
      <c r="L88" s="211"/>
      <c r="N88" s="214"/>
    </row>
    <row r="89" spans="11:14" ht="18" customHeight="1" x14ac:dyDescent="0.45">
      <c r="K89" s="211"/>
      <c r="L89" s="211"/>
      <c r="N89" s="214"/>
    </row>
    <row r="90" spans="11:14" ht="18" customHeight="1" x14ac:dyDescent="0.45">
      <c r="K90" s="211"/>
      <c r="L90" s="211"/>
      <c r="N90" s="214"/>
    </row>
    <row r="91" spans="11:14" ht="18" customHeight="1" x14ac:dyDescent="0.45">
      <c r="K91" s="211"/>
      <c r="L91" s="211"/>
      <c r="N91" s="214"/>
    </row>
    <row r="92" spans="11:14" ht="18" customHeight="1" x14ac:dyDescent="0.45">
      <c r="K92" s="211"/>
      <c r="L92" s="211"/>
      <c r="N92" s="214"/>
    </row>
    <row r="93" spans="11:14" ht="18" customHeight="1" x14ac:dyDescent="0.45">
      <c r="K93" s="211"/>
      <c r="L93" s="211"/>
      <c r="N93" s="214"/>
    </row>
    <row r="94" spans="11:14" ht="18" customHeight="1" x14ac:dyDescent="0.45">
      <c r="K94" s="211"/>
      <c r="L94" s="211"/>
      <c r="N94" s="214"/>
    </row>
    <row r="95" spans="11:14" ht="18" customHeight="1" x14ac:dyDescent="0.45">
      <c r="K95" s="211"/>
      <c r="L95" s="211"/>
      <c r="N95" s="214"/>
    </row>
    <row r="96" spans="11:14" ht="18" customHeight="1" x14ac:dyDescent="0.45">
      <c r="K96" s="211"/>
      <c r="L96" s="211"/>
      <c r="N96" s="214"/>
    </row>
    <row r="97" spans="1:14" ht="18" customHeight="1" x14ac:dyDescent="0.45">
      <c r="K97" s="211"/>
      <c r="L97" s="211"/>
      <c r="N97" s="214"/>
    </row>
    <row r="98" spans="1:14" ht="18" customHeight="1" x14ac:dyDescent="0.45">
      <c r="K98" s="211"/>
      <c r="L98" s="211"/>
      <c r="N98" s="214"/>
    </row>
    <row r="99" spans="1:14" ht="18" customHeight="1" x14ac:dyDescent="0.45">
      <c r="K99" s="211"/>
      <c r="L99" s="211"/>
      <c r="N99" s="214"/>
    </row>
    <row r="100" spans="1:14" ht="18" customHeight="1" x14ac:dyDescent="0.45">
      <c r="K100" s="211"/>
      <c r="L100" s="211"/>
      <c r="N100" s="214"/>
    </row>
    <row r="101" spans="1:14" ht="18" customHeight="1" x14ac:dyDescent="0.45">
      <c r="K101" s="211"/>
      <c r="L101" s="211"/>
      <c r="N101" s="214"/>
    </row>
    <row r="102" spans="1:14" ht="18" customHeight="1" x14ac:dyDescent="0.45">
      <c r="K102" s="211"/>
      <c r="L102" s="211"/>
      <c r="N102" s="214"/>
    </row>
    <row r="103" spans="1:14" ht="18" customHeight="1" x14ac:dyDescent="0.45">
      <c r="K103" s="211"/>
      <c r="L103" s="211"/>
      <c r="N103" s="214"/>
    </row>
    <row r="104" spans="1:14" ht="18" customHeight="1" x14ac:dyDescent="0.45">
      <c r="K104" s="211"/>
      <c r="L104" s="211"/>
      <c r="N104" s="214"/>
    </row>
    <row r="105" spans="1:14" ht="18" customHeight="1" x14ac:dyDescent="0.45">
      <c r="K105" s="211"/>
      <c r="L105" s="211"/>
      <c r="N105" s="214"/>
    </row>
    <row r="106" spans="1:14" ht="18" customHeight="1" x14ac:dyDescent="0.45">
      <c r="K106" s="211"/>
      <c r="L106" s="211"/>
      <c r="N106" s="214"/>
    </row>
    <row r="107" spans="1:14" ht="18" customHeight="1" x14ac:dyDescent="0.45">
      <c r="K107" s="211"/>
      <c r="L107" s="211"/>
      <c r="N107" s="214"/>
    </row>
    <row r="108" spans="1:14" ht="18" customHeight="1" x14ac:dyDescent="0.45">
      <c r="A108" s="234" t="s">
        <v>975</v>
      </c>
      <c r="K108" s="211"/>
      <c r="L108" s="211"/>
      <c r="N108" s="214"/>
    </row>
    <row r="109" spans="1:14" ht="18" customHeight="1" x14ac:dyDescent="0.45">
      <c r="K109" s="211"/>
      <c r="L109" s="211"/>
      <c r="N109" s="214"/>
    </row>
    <row r="110" spans="1:14" ht="18" customHeight="1" x14ac:dyDescent="0.45">
      <c r="A110" s="809" t="s">
        <v>885</v>
      </c>
      <c r="B110" s="858" t="s">
        <v>976</v>
      </c>
      <c r="C110" s="865"/>
      <c r="D110" s="864" t="s">
        <v>894</v>
      </c>
      <c r="E110" s="864"/>
      <c r="F110" s="864" t="s">
        <v>977</v>
      </c>
      <c r="G110" s="817">
        <f>K155+J194</f>
        <v>0</v>
      </c>
      <c r="H110" s="818"/>
      <c r="K110" s="211"/>
      <c r="L110" s="211"/>
      <c r="N110" s="214"/>
    </row>
    <row r="111" spans="1:14" ht="18" customHeight="1" x14ac:dyDescent="0.45">
      <c r="A111" s="810"/>
      <c r="B111" s="866"/>
      <c r="C111" s="867"/>
      <c r="D111" s="864" t="s">
        <v>978</v>
      </c>
      <c r="E111" s="864"/>
      <c r="F111" s="864"/>
      <c r="G111" s="817">
        <f>K156+J195</f>
        <v>0</v>
      </c>
      <c r="H111" s="818"/>
      <c r="K111" s="211"/>
      <c r="L111" s="211"/>
      <c r="N111" s="214"/>
    </row>
    <row r="112" spans="1:14" ht="18" customHeight="1" x14ac:dyDescent="0.45">
      <c r="A112" s="810"/>
      <c r="B112" s="866"/>
      <c r="C112" s="867"/>
      <c r="D112" s="864" t="s">
        <v>979</v>
      </c>
      <c r="E112" s="864"/>
      <c r="F112" s="864"/>
      <c r="G112" s="817">
        <f>K157+J196</f>
        <v>0.20287369714020026</v>
      </c>
      <c r="H112" s="818"/>
      <c r="K112" s="211"/>
      <c r="L112" s="211"/>
      <c r="N112" s="214"/>
    </row>
    <row r="113" spans="1:14" ht="18" customHeight="1" x14ac:dyDescent="0.45">
      <c r="A113" s="810"/>
      <c r="B113" s="868"/>
      <c r="C113" s="869"/>
      <c r="D113" s="864" t="s">
        <v>980</v>
      </c>
      <c r="E113" s="864"/>
      <c r="F113" s="864"/>
      <c r="G113" s="817">
        <f>K158+J197</f>
        <v>0</v>
      </c>
      <c r="H113" s="818"/>
      <c r="K113" s="211"/>
      <c r="L113" s="211"/>
      <c r="N113" s="214"/>
    </row>
    <row r="114" spans="1:14" ht="18" customHeight="1" x14ac:dyDescent="0.45">
      <c r="A114" s="810"/>
      <c r="B114" s="858" t="s">
        <v>981</v>
      </c>
      <c r="C114" s="859"/>
      <c r="D114" s="864" t="s">
        <v>894</v>
      </c>
      <c r="E114" s="864"/>
      <c r="F114" s="864" t="s">
        <v>982</v>
      </c>
      <c r="G114" s="817">
        <f>J229</f>
        <v>0</v>
      </c>
      <c r="H114" s="818"/>
      <c r="K114" s="211"/>
      <c r="L114" s="211"/>
      <c r="N114" s="214"/>
    </row>
    <row r="115" spans="1:14" ht="18" customHeight="1" x14ac:dyDescent="0.45">
      <c r="A115" s="810"/>
      <c r="B115" s="860"/>
      <c r="C115" s="861"/>
      <c r="D115" s="864" t="s">
        <v>978</v>
      </c>
      <c r="E115" s="864"/>
      <c r="F115" s="864"/>
      <c r="G115" s="817">
        <f t="shared" ref="G115:G117" si="0">J230</f>
        <v>0</v>
      </c>
      <c r="H115" s="818"/>
      <c r="K115" s="211"/>
      <c r="L115" s="211"/>
      <c r="N115" s="214"/>
    </row>
    <row r="116" spans="1:14" ht="18" customHeight="1" x14ac:dyDescent="0.45">
      <c r="A116" s="810"/>
      <c r="B116" s="860"/>
      <c r="C116" s="861"/>
      <c r="D116" s="864" t="s">
        <v>979</v>
      </c>
      <c r="E116" s="864"/>
      <c r="F116" s="864"/>
      <c r="G116" s="817">
        <f t="shared" si="0"/>
        <v>0</v>
      </c>
      <c r="H116" s="818"/>
      <c r="K116" s="211"/>
      <c r="L116" s="211"/>
      <c r="N116" s="214"/>
    </row>
    <row r="117" spans="1:14" ht="18" customHeight="1" x14ac:dyDescent="0.45">
      <c r="A117" s="810"/>
      <c r="B117" s="862"/>
      <c r="C117" s="863"/>
      <c r="D117" s="864" t="s">
        <v>980</v>
      </c>
      <c r="E117" s="864"/>
      <c r="F117" s="864"/>
      <c r="G117" s="817">
        <f t="shared" si="0"/>
        <v>0</v>
      </c>
      <c r="H117" s="818"/>
      <c r="K117" s="211"/>
      <c r="L117" s="211"/>
      <c r="N117" s="214"/>
    </row>
    <row r="118" spans="1:14" ht="18" customHeight="1" x14ac:dyDescent="0.45">
      <c r="A118" s="810"/>
      <c r="B118" s="870" t="s">
        <v>1146</v>
      </c>
      <c r="C118" s="871"/>
      <c r="D118" s="876" t="s">
        <v>894</v>
      </c>
      <c r="E118" s="876"/>
      <c r="F118" s="876" t="s">
        <v>1147</v>
      </c>
      <c r="G118" s="877">
        <f>J259</f>
        <v>0</v>
      </c>
      <c r="H118" s="878"/>
      <c r="K118" s="211"/>
      <c r="L118" s="211"/>
      <c r="N118" s="214"/>
    </row>
    <row r="119" spans="1:14" ht="18" customHeight="1" x14ac:dyDescent="0.45">
      <c r="A119" s="810"/>
      <c r="B119" s="872"/>
      <c r="C119" s="873"/>
      <c r="D119" s="876" t="s">
        <v>978</v>
      </c>
      <c r="E119" s="876"/>
      <c r="F119" s="876"/>
      <c r="G119" s="877">
        <f t="shared" ref="G119:G121" si="1">J260</f>
        <v>0</v>
      </c>
      <c r="H119" s="878"/>
      <c r="K119" s="211"/>
      <c r="L119" s="211"/>
    </row>
    <row r="120" spans="1:14" ht="18" customHeight="1" x14ac:dyDescent="0.45">
      <c r="A120" s="810"/>
      <c r="B120" s="872"/>
      <c r="C120" s="873"/>
      <c r="D120" s="876" t="s">
        <v>979</v>
      </c>
      <c r="E120" s="876"/>
      <c r="F120" s="876"/>
      <c r="G120" s="877">
        <f t="shared" si="1"/>
        <v>0</v>
      </c>
      <c r="H120" s="878"/>
      <c r="K120" s="211"/>
      <c r="L120" s="211"/>
    </row>
    <row r="121" spans="1:14" ht="18" customHeight="1" x14ac:dyDescent="0.45">
      <c r="A121" s="811"/>
      <c r="B121" s="874"/>
      <c r="C121" s="875"/>
      <c r="D121" s="876" t="s">
        <v>980</v>
      </c>
      <c r="E121" s="876"/>
      <c r="F121" s="876"/>
      <c r="G121" s="877">
        <f t="shared" si="1"/>
        <v>0</v>
      </c>
      <c r="H121" s="878"/>
      <c r="K121" s="211"/>
      <c r="L121" s="211"/>
    </row>
    <row r="122" spans="1:14" ht="18" customHeight="1" x14ac:dyDescent="0.45">
      <c r="A122" s="809" t="s">
        <v>985</v>
      </c>
      <c r="B122" s="858" t="s">
        <v>976</v>
      </c>
      <c r="C122" s="865"/>
      <c r="D122" s="864" t="s">
        <v>986</v>
      </c>
      <c r="E122" s="864"/>
      <c r="F122" s="845" t="s">
        <v>977</v>
      </c>
      <c r="G122" s="817">
        <f>K172+J213</f>
        <v>11.3</v>
      </c>
      <c r="H122" s="818"/>
      <c r="K122" s="211"/>
      <c r="L122" s="211"/>
    </row>
    <row r="123" spans="1:14" ht="18" customHeight="1" x14ac:dyDescent="0.45">
      <c r="A123" s="810"/>
      <c r="B123" s="866"/>
      <c r="C123" s="867"/>
      <c r="D123" s="864" t="s">
        <v>987</v>
      </c>
      <c r="E123" s="864"/>
      <c r="F123" s="846"/>
      <c r="G123" s="817">
        <f>K173+J214</f>
        <v>42.80005875103631</v>
      </c>
      <c r="H123" s="818"/>
      <c r="K123" s="211"/>
      <c r="L123" s="211"/>
    </row>
    <row r="124" spans="1:14" ht="18" customHeight="1" x14ac:dyDescent="0.45">
      <c r="A124" s="810"/>
      <c r="B124" s="868"/>
      <c r="C124" s="869"/>
      <c r="D124" s="864" t="s">
        <v>988</v>
      </c>
      <c r="E124" s="864"/>
      <c r="F124" s="847"/>
      <c r="G124" s="817">
        <f>K174+J215</f>
        <v>7</v>
      </c>
      <c r="H124" s="818"/>
      <c r="K124" s="211"/>
      <c r="L124" s="211"/>
    </row>
    <row r="125" spans="1:14" ht="18" customHeight="1" x14ac:dyDescent="0.45">
      <c r="A125" s="810"/>
      <c r="B125" s="882" t="s">
        <v>981</v>
      </c>
      <c r="C125" s="882"/>
      <c r="D125" s="864" t="s">
        <v>986</v>
      </c>
      <c r="E125" s="864"/>
      <c r="F125" s="845" t="s">
        <v>982</v>
      </c>
      <c r="G125" s="817">
        <f>J241</f>
        <v>0</v>
      </c>
      <c r="H125" s="818"/>
      <c r="K125" s="211"/>
      <c r="L125" s="211"/>
    </row>
    <row r="126" spans="1:14" ht="18" customHeight="1" x14ac:dyDescent="0.45">
      <c r="A126" s="810"/>
      <c r="B126" s="882"/>
      <c r="C126" s="882"/>
      <c r="D126" s="864" t="s">
        <v>987</v>
      </c>
      <c r="E126" s="864"/>
      <c r="F126" s="846"/>
      <c r="G126" s="817">
        <f t="shared" ref="G126:G127" si="2">J242</f>
        <v>-496.2</v>
      </c>
      <c r="H126" s="818"/>
      <c r="K126" s="211"/>
      <c r="L126" s="211"/>
    </row>
    <row r="127" spans="1:14" ht="18" customHeight="1" x14ac:dyDescent="0.45">
      <c r="A127" s="810"/>
      <c r="B127" s="882"/>
      <c r="C127" s="882"/>
      <c r="D127" s="864" t="s">
        <v>988</v>
      </c>
      <c r="E127" s="864"/>
      <c r="F127" s="847"/>
      <c r="G127" s="817">
        <f t="shared" si="2"/>
        <v>0</v>
      </c>
      <c r="H127" s="818"/>
      <c r="K127" s="211"/>
      <c r="L127" s="211"/>
    </row>
    <row r="128" spans="1:14" ht="18" customHeight="1" x14ac:dyDescent="0.45">
      <c r="A128" s="810"/>
      <c r="B128" s="870" t="s">
        <v>983</v>
      </c>
      <c r="C128" s="871"/>
      <c r="D128" s="876" t="s">
        <v>986</v>
      </c>
      <c r="E128" s="876"/>
      <c r="F128" s="879" t="s">
        <v>984</v>
      </c>
      <c r="G128" s="877">
        <f>J276</f>
        <v>27.6</v>
      </c>
      <c r="H128" s="878"/>
      <c r="K128" s="211"/>
      <c r="L128" s="211"/>
    </row>
    <row r="129" spans="1:13" ht="18" customHeight="1" x14ac:dyDescent="0.45">
      <c r="A129" s="810"/>
      <c r="B129" s="872"/>
      <c r="C129" s="873"/>
      <c r="D129" s="876" t="s">
        <v>987</v>
      </c>
      <c r="E129" s="876"/>
      <c r="F129" s="880"/>
      <c r="G129" s="877">
        <f t="shared" ref="G129" si="3">J277</f>
        <v>23.1</v>
      </c>
      <c r="H129" s="878"/>
      <c r="K129" s="211"/>
      <c r="L129" s="211"/>
    </row>
    <row r="130" spans="1:13" ht="18" customHeight="1" x14ac:dyDescent="0.45">
      <c r="A130" s="811"/>
      <c r="B130" s="874"/>
      <c r="C130" s="875"/>
      <c r="D130" s="876" t="s">
        <v>988</v>
      </c>
      <c r="E130" s="876"/>
      <c r="F130" s="881"/>
      <c r="G130" s="877">
        <f>J278</f>
        <v>0</v>
      </c>
      <c r="H130" s="878"/>
      <c r="K130" s="211"/>
      <c r="L130" s="211"/>
    </row>
    <row r="131" spans="1:13" ht="18" customHeight="1" x14ac:dyDescent="0.45">
      <c r="A131" s="215"/>
      <c r="B131" s="216"/>
      <c r="C131" s="216"/>
      <c r="G131" s="217"/>
      <c r="H131" s="217"/>
      <c r="K131" s="211"/>
      <c r="L131" s="211"/>
    </row>
    <row r="132" spans="1:13" ht="18" customHeight="1" x14ac:dyDescent="0.45">
      <c r="A132" s="215"/>
      <c r="B132" s="216"/>
      <c r="C132" s="216"/>
      <c r="G132" s="217"/>
      <c r="H132" s="217"/>
      <c r="K132" s="211"/>
      <c r="L132" s="211"/>
    </row>
    <row r="133" spans="1:13" ht="18" customHeight="1" x14ac:dyDescent="0.45">
      <c r="A133" s="215"/>
      <c r="B133" s="216"/>
      <c r="C133" s="216"/>
      <c r="G133" s="217"/>
      <c r="H133" s="217"/>
      <c r="K133" s="211"/>
      <c r="L133" s="211"/>
    </row>
    <row r="134" spans="1:13" ht="18" customHeight="1" x14ac:dyDescent="0.45">
      <c r="A134" s="206" t="s">
        <v>989</v>
      </c>
      <c r="I134" s="207"/>
      <c r="K134" s="211"/>
      <c r="L134" s="211"/>
    </row>
    <row r="135" spans="1:13" ht="18" customHeight="1" x14ac:dyDescent="0.45">
      <c r="K135" s="211"/>
      <c r="L135" s="211"/>
    </row>
    <row r="136" spans="1:13" ht="32.25" customHeight="1" x14ac:dyDescent="0.45">
      <c r="A136" s="218" t="s">
        <v>990</v>
      </c>
      <c r="B136" s="883" t="s">
        <v>991</v>
      </c>
      <c r="C136" s="884"/>
      <c r="D136" s="884"/>
      <c r="E136" s="885"/>
      <c r="F136" s="218" t="s">
        <v>992</v>
      </c>
      <c r="G136" s="883" t="s">
        <v>993</v>
      </c>
      <c r="H136" s="884"/>
      <c r="I136" s="885"/>
      <c r="J136" s="219" t="s">
        <v>994</v>
      </c>
      <c r="K136" s="219" t="s">
        <v>995</v>
      </c>
      <c r="L136" s="886" t="s">
        <v>996</v>
      </c>
      <c r="M136" s="887"/>
    </row>
    <row r="137" spans="1:13" ht="18" customHeight="1" x14ac:dyDescent="0.45">
      <c r="A137" s="888" t="s">
        <v>885</v>
      </c>
      <c r="B137" s="891" t="s">
        <v>997</v>
      </c>
      <c r="C137" s="891" t="s">
        <v>998</v>
      </c>
      <c r="D137" s="891"/>
      <c r="E137" s="212" t="s">
        <v>999</v>
      </c>
      <c r="F137" s="892" t="s">
        <v>1000</v>
      </c>
      <c r="G137" s="895" t="s">
        <v>1001</v>
      </c>
      <c r="H137" s="896"/>
      <c r="I137" s="897"/>
      <c r="J137" s="220">
        <f>0.0131*(0.5*H37)^0.611*100</f>
        <v>0</v>
      </c>
      <c r="K137" s="221">
        <f>J137*$H$71%*(1+$H$71%)^$H$75/((1+$H$71%)^$H$75-1)*($J$66/92.7)</f>
        <v>0</v>
      </c>
      <c r="L137" s="898" t="s">
        <v>953</v>
      </c>
      <c r="M137" s="899"/>
    </row>
    <row r="138" spans="1:13" ht="18" customHeight="1" x14ac:dyDescent="0.45">
      <c r="A138" s="889"/>
      <c r="B138" s="891"/>
      <c r="C138" s="891"/>
      <c r="D138" s="891"/>
      <c r="E138" s="212" t="s">
        <v>971</v>
      </c>
      <c r="F138" s="893"/>
      <c r="G138" s="895" t="s">
        <v>1002</v>
      </c>
      <c r="H138" s="896"/>
      <c r="I138" s="897"/>
      <c r="J138" s="220">
        <f>0.0124*(0.5*H37)^0.598*100</f>
        <v>0</v>
      </c>
      <c r="K138" s="221">
        <f>J138*$H$71%*(1+$H$71%)^$H$76/((1+$H$71%)^$H$76-1)*($J$66/92.7)</f>
        <v>0</v>
      </c>
      <c r="L138" s="900"/>
      <c r="M138" s="901"/>
    </row>
    <row r="139" spans="1:13" ht="18" customHeight="1" x14ac:dyDescent="0.45">
      <c r="A139" s="889"/>
      <c r="B139" s="891"/>
      <c r="C139" s="891" t="s">
        <v>1003</v>
      </c>
      <c r="D139" s="891"/>
      <c r="E139" s="212" t="s">
        <v>999</v>
      </c>
      <c r="F139" s="893"/>
      <c r="G139" s="895" t="s">
        <v>1004</v>
      </c>
      <c r="H139" s="896"/>
      <c r="I139" s="897"/>
      <c r="J139" s="220">
        <f>0.438*(0.5*H37)^0.422*100</f>
        <v>0</v>
      </c>
      <c r="K139" s="221">
        <f>J139*$H$71%*(1+$H$71%)^$H$75/((1+$H$71%)^$H$75-1)*($J$66/92.7)</f>
        <v>0</v>
      </c>
      <c r="L139" s="900"/>
      <c r="M139" s="901"/>
    </row>
    <row r="140" spans="1:13" ht="18" customHeight="1" x14ac:dyDescent="0.45">
      <c r="A140" s="889"/>
      <c r="B140" s="891"/>
      <c r="C140" s="891"/>
      <c r="D140" s="891"/>
      <c r="E140" s="212" t="s">
        <v>971</v>
      </c>
      <c r="F140" s="893"/>
      <c r="G140" s="895" t="s">
        <v>1005</v>
      </c>
      <c r="H140" s="896"/>
      <c r="I140" s="897"/>
      <c r="J140" s="220">
        <f>0.34*(0.5*H37)^0.259*100</f>
        <v>0</v>
      </c>
      <c r="K140" s="221">
        <f>J140*$H$71%*(1+$H$71%)^$H$76/((1+$H$71%)^$H$76-1)*($J$66/92.7)</f>
        <v>0</v>
      </c>
      <c r="L140" s="900"/>
      <c r="M140" s="901"/>
    </row>
    <row r="141" spans="1:13" ht="18" customHeight="1" x14ac:dyDescent="0.45">
      <c r="A141" s="889"/>
      <c r="B141" s="891" t="s">
        <v>966</v>
      </c>
      <c r="C141" s="904" t="s">
        <v>1006</v>
      </c>
      <c r="D141" s="904"/>
      <c r="E141" s="212" t="s">
        <v>999</v>
      </c>
      <c r="F141" s="893"/>
      <c r="G141" s="895" t="s">
        <v>1007</v>
      </c>
      <c r="H141" s="896"/>
      <c r="I141" s="897"/>
      <c r="J141" s="220">
        <f>0.516*H38^0.385*100</f>
        <v>0</v>
      </c>
      <c r="K141" s="221">
        <f>J141*$H$71%*(1+$H$71%)^$H$73/((1+$H$71%)^$H$73-1)*($J$66/92.7)</f>
        <v>0</v>
      </c>
      <c r="L141" s="900"/>
      <c r="M141" s="901"/>
    </row>
    <row r="142" spans="1:13" ht="18" customHeight="1" x14ac:dyDescent="0.45">
      <c r="A142" s="889"/>
      <c r="B142" s="891"/>
      <c r="C142" s="904"/>
      <c r="D142" s="904"/>
      <c r="E142" s="212" t="s">
        <v>971</v>
      </c>
      <c r="F142" s="893"/>
      <c r="G142" s="895" t="s">
        <v>1008</v>
      </c>
      <c r="H142" s="896"/>
      <c r="I142" s="897"/>
      <c r="J142" s="220">
        <f>0.169*H38^0.539*100</f>
        <v>0</v>
      </c>
      <c r="K142" s="221">
        <f>J142*$H$71%*(1+$H$71%)^$H$74/((1+$H$71%)^$H$74-1)*($J$66/92.7)</f>
        <v>0</v>
      </c>
      <c r="L142" s="902"/>
      <c r="M142" s="903"/>
    </row>
    <row r="143" spans="1:13" ht="18" customHeight="1" x14ac:dyDescent="0.45">
      <c r="A143" s="889"/>
      <c r="B143" s="891"/>
      <c r="C143" s="891" t="s">
        <v>1009</v>
      </c>
      <c r="D143" s="891"/>
      <c r="E143" s="212" t="s">
        <v>999</v>
      </c>
      <c r="F143" s="893"/>
      <c r="G143" s="895" t="s">
        <v>1010</v>
      </c>
      <c r="H143" s="896"/>
      <c r="I143" s="897"/>
      <c r="J143" s="220">
        <f>0.878*H41^0.761</f>
        <v>0</v>
      </c>
      <c r="K143" s="221">
        <f>J143*$H$71%*(1+$H$71%)^$H$73/((1+$H$71%)^$H$73-1)*($J$66/98.5)</f>
        <v>0</v>
      </c>
      <c r="L143" s="898" t="s">
        <v>957</v>
      </c>
      <c r="M143" s="899"/>
    </row>
    <row r="144" spans="1:13" ht="18" customHeight="1" x14ac:dyDescent="0.45">
      <c r="A144" s="889"/>
      <c r="B144" s="891"/>
      <c r="C144" s="891" t="s">
        <v>1011</v>
      </c>
      <c r="D144" s="891"/>
      <c r="E144" s="212" t="s">
        <v>999</v>
      </c>
      <c r="F144" s="893"/>
      <c r="G144" s="895" t="s">
        <v>1012</v>
      </c>
      <c r="H144" s="896"/>
      <c r="I144" s="897"/>
      <c r="J144" s="220">
        <f>10.4*H42^0.437</f>
        <v>0</v>
      </c>
      <c r="K144" s="221">
        <f>J144*$H$71%*(1+$H$71%)^$H$73/((1+$H$71%)^$H$73-1)*($J$66/98.5)</f>
        <v>0</v>
      </c>
      <c r="L144" s="902"/>
      <c r="M144" s="903"/>
    </row>
    <row r="145" spans="1:13" ht="18" customHeight="1" x14ac:dyDescent="0.45">
      <c r="A145" s="889"/>
      <c r="B145" s="904" t="s">
        <v>1013</v>
      </c>
      <c r="C145" s="891"/>
      <c r="D145" s="891"/>
      <c r="E145" s="212" t="s">
        <v>999</v>
      </c>
      <c r="F145" s="893"/>
      <c r="G145" s="895" t="s">
        <v>1014</v>
      </c>
      <c r="H145" s="896"/>
      <c r="I145" s="897"/>
      <c r="J145" s="220">
        <f>(0.434*H39^0.373*100)-(0.434*H46^0.373*100)</f>
        <v>0</v>
      </c>
      <c r="K145" s="221">
        <f>J145*$H$71%*(1+$H$71%)^$H$75/((1+$H$71%)^$H$75-1)*($J$66/92.7)</f>
        <v>0</v>
      </c>
      <c r="L145" s="898" t="s">
        <v>953</v>
      </c>
      <c r="M145" s="899"/>
    </row>
    <row r="146" spans="1:13" ht="18" customHeight="1" x14ac:dyDescent="0.45">
      <c r="A146" s="889"/>
      <c r="B146" s="891"/>
      <c r="C146" s="891"/>
      <c r="D146" s="891"/>
      <c r="E146" s="212" t="s">
        <v>971</v>
      </c>
      <c r="F146" s="893"/>
      <c r="G146" s="895" t="s">
        <v>1015</v>
      </c>
      <c r="H146" s="896"/>
      <c r="I146" s="897"/>
      <c r="J146" s="220">
        <f>(0.227*H39^0.444*100)-(0.227*H46^0.444*100)</f>
        <v>0</v>
      </c>
      <c r="K146" s="221">
        <f>J146*$H$71%*(1+$H$71%)^$H$76/((1+$H$71%)^$H$76-1)*($J$66/92.7)</f>
        <v>0</v>
      </c>
      <c r="L146" s="900"/>
      <c r="M146" s="901"/>
    </row>
    <row r="147" spans="1:13" ht="18" customHeight="1" x14ac:dyDescent="0.45">
      <c r="A147" s="889"/>
      <c r="B147" s="904" t="s">
        <v>1016</v>
      </c>
      <c r="C147" s="891"/>
      <c r="D147" s="891"/>
      <c r="E147" s="212" t="s">
        <v>999</v>
      </c>
      <c r="F147" s="893"/>
      <c r="G147" s="895" t="s">
        <v>1014</v>
      </c>
      <c r="H147" s="896"/>
      <c r="I147" s="897"/>
      <c r="J147" s="220">
        <f>(0.434*H40^0.373*100)-(0.434*H46^0.373*100)</f>
        <v>0</v>
      </c>
      <c r="K147" s="221">
        <f>J147*$H$71%*(1+$H$71%)^$H$75/((1+$H$71%)^$H$75-1)*($J$66/92.7)</f>
        <v>0</v>
      </c>
      <c r="L147" s="900"/>
      <c r="M147" s="901"/>
    </row>
    <row r="148" spans="1:13" ht="18" customHeight="1" x14ac:dyDescent="0.45">
      <c r="A148" s="889"/>
      <c r="B148" s="891"/>
      <c r="C148" s="891"/>
      <c r="D148" s="891"/>
      <c r="E148" s="212" t="s">
        <v>971</v>
      </c>
      <c r="F148" s="893"/>
      <c r="G148" s="895" t="s">
        <v>1015</v>
      </c>
      <c r="H148" s="896"/>
      <c r="I148" s="897"/>
      <c r="J148" s="220">
        <f>(0.227*H40^0.444*100)-(0.227*H46^0.444*100)</f>
        <v>0</v>
      </c>
      <c r="K148" s="221">
        <f>J148*$H$71%*(1+$H$71%)^$H$76/((1+$H$71%)^$H$76-1)*($J$66/92.7)</f>
        <v>0</v>
      </c>
      <c r="L148" s="902"/>
      <c r="M148" s="903"/>
    </row>
    <row r="149" spans="1:13" ht="18" customHeight="1" x14ac:dyDescent="0.45">
      <c r="A149" s="889"/>
      <c r="B149" s="891" t="s">
        <v>1017</v>
      </c>
      <c r="C149" s="891"/>
      <c r="D149" s="891"/>
      <c r="E149" s="212" t="s">
        <v>973</v>
      </c>
      <c r="F149" s="893"/>
      <c r="G149" s="895" t="s">
        <v>1018</v>
      </c>
      <c r="H149" s="896"/>
      <c r="I149" s="897"/>
      <c r="J149" s="220">
        <f>1.3132*H43</f>
        <v>0</v>
      </c>
      <c r="K149" s="221">
        <f>J149*$H$71%*(1+$H$71%)^$H$75/((1+$H$71%)^$H$75-1)*($J$66/107.5)</f>
        <v>0</v>
      </c>
      <c r="L149" s="905" t="s">
        <v>1019</v>
      </c>
      <c r="M149" s="906"/>
    </row>
    <row r="150" spans="1:13" ht="18" customHeight="1" x14ac:dyDescent="0.45">
      <c r="A150" s="889"/>
      <c r="B150" s="891"/>
      <c r="C150" s="891"/>
      <c r="D150" s="891"/>
      <c r="E150" s="212" t="s">
        <v>971</v>
      </c>
      <c r="F150" s="894"/>
      <c r="G150" s="895" t="s">
        <v>1020</v>
      </c>
      <c r="H150" s="896"/>
      <c r="I150" s="897"/>
      <c r="J150" s="220">
        <f>0.0263*H43+5.8284</f>
        <v>5.8284000000000002</v>
      </c>
      <c r="K150" s="221">
        <f>J150*$H$71%*(1+$H$71%)^$H$76/((1+$H$71%)^$H$76-1)*($J$66/107.5)</f>
        <v>0.20287369714020026</v>
      </c>
      <c r="L150" s="907"/>
      <c r="M150" s="908"/>
    </row>
    <row r="151" spans="1:13" ht="18" customHeight="1" x14ac:dyDescent="0.45">
      <c r="A151" s="889"/>
      <c r="B151" s="891" t="s">
        <v>1021</v>
      </c>
      <c r="C151" s="891" t="s">
        <v>1022</v>
      </c>
      <c r="D151" s="891" t="s">
        <v>894</v>
      </c>
      <c r="E151" s="891"/>
      <c r="F151" s="891" t="s">
        <v>1023</v>
      </c>
      <c r="G151" s="883" t="s">
        <v>1024</v>
      </c>
      <c r="H151" s="884"/>
      <c r="I151" s="885"/>
      <c r="J151" s="222">
        <f>SUM(J137:J140)+J145+J146</f>
        <v>0</v>
      </c>
      <c r="K151" s="210" t="s">
        <v>1024</v>
      </c>
      <c r="L151" s="909"/>
      <c r="M151" s="910"/>
    </row>
    <row r="152" spans="1:13" ht="18" customHeight="1" x14ac:dyDescent="0.45">
      <c r="A152" s="889"/>
      <c r="B152" s="891"/>
      <c r="C152" s="891"/>
      <c r="D152" s="891" t="s">
        <v>978</v>
      </c>
      <c r="E152" s="891"/>
      <c r="F152" s="891"/>
      <c r="G152" s="883" t="s">
        <v>1024</v>
      </c>
      <c r="H152" s="884"/>
      <c r="I152" s="885"/>
      <c r="J152" s="222">
        <f>SUM(J137:J142)+J147+J148</f>
        <v>0</v>
      </c>
      <c r="K152" s="210" t="s">
        <v>1024</v>
      </c>
      <c r="L152" s="909"/>
      <c r="M152" s="910"/>
    </row>
    <row r="153" spans="1:13" ht="18" customHeight="1" x14ac:dyDescent="0.45">
      <c r="A153" s="889"/>
      <c r="B153" s="891"/>
      <c r="C153" s="891"/>
      <c r="D153" s="891" t="s">
        <v>979</v>
      </c>
      <c r="E153" s="891"/>
      <c r="F153" s="891"/>
      <c r="G153" s="883" t="s">
        <v>1024</v>
      </c>
      <c r="H153" s="884"/>
      <c r="I153" s="885"/>
      <c r="J153" s="222">
        <f>SUM(J137:J142)+SUM(J147:J150)</f>
        <v>5.8284000000000002</v>
      </c>
      <c r="K153" s="210" t="s">
        <v>1024</v>
      </c>
      <c r="L153" s="909"/>
      <c r="M153" s="910"/>
    </row>
    <row r="154" spans="1:13" ht="18" customHeight="1" x14ac:dyDescent="0.45">
      <c r="A154" s="889"/>
      <c r="B154" s="891"/>
      <c r="C154" s="891"/>
      <c r="D154" s="891" t="s">
        <v>980</v>
      </c>
      <c r="E154" s="891"/>
      <c r="F154" s="891"/>
      <c r="G154" s="883" t="s">
        <v>1024</v>
      </c>
      <c r="H154" s="884"/>
      <c r="I154" s="885"/>
      <c r="J154" s="222">
        <f>SUM(J137:J142)-SUM(J143:J144)</f>
        <v>0</v>
      </c>
      <c r="K154" s="210" t="s">
        <v>1024</v>
      </c>
      <c r="L154" s="909"/>
      <c r="M154" s="910"/>
    </row>
    <row r="155" spans="1:13" ht="18" customHeight="1" x14ac:dyDescent="0.45">
      <c r="A155" s="889"/>
      <c r="B155" s="891"/>
      <c r="C155" s="891" t="s">
        <v>1025</v>
      </c>
      <c r="D155" s="891" t="s">
        <v>894</v>
      </c>
      <c r="E155" s="891"/>
      <c r="F155" s="911" t="s">
        <v>977</v>
      </c>
      <c r="G155" s="883" t="s">
        <v>1024</v>
      </c>
      <c r="H155" s="884"/>
      <c r="I155" s="885"/>
      <c r="J155" s="210" t="s">
        <v>1024</v>
      </c>
      <c r="K155" s="222">
        <f>SUM(K137:K140)+K145+K146</f>
        <v>0</v>
      </c>
      <c r="L155" s="909"/>
      <c r="M155" s="910"/>
    </row>
    <row r="156" spans="1:13" ht="18" customHeight="1" x14ac:dyDescent="0.45">
      <c r="A156" s="889"/>
      <c r="B156" s="891"/>
      <c r="C156" s="891"/>
      <c r="D156" s="891" t="s">
        <v>978</v>
      </c>
      <c r="E156" s="891"/>
      <c r="F156" s="912"/>
      <c r="G156" s="883" t="s">
        <v>1024</v>
      </c>
      <c r="H156" s="884"/>
      <c r="I156" s="885"/>
      <c r="J156" s="210" t="s">
        <v>1024</v>
      </c>
      <c r="K156" s="222">
        <f>SUM(K137:K142)+K147+K148</f>
        <v>0</v>
      </c>
      <c r="L156" s="909"/>
      <c r="M156" s="910"/>
    </row>
    <row r="157" spans="1:13" ht="18" customHeight="1" x14ac:dyDescent="0.45">
      <c r="A157" s="889"/>
      <c r="B157" s="891"/>
      <c r="C157" s="891"/>
      <c r="D157" s="891" t="s">
        <v>979</v>
      </c>
      <c r="E157" s="891"/>
      <c r="F157" s="912"/>
      <c r="G157" s="883" t="s">
        <v>1024</v>
      </c>
      <c r="H157" s="884"/>
      <c r="I157" s="885"/>
      <c r="J157" s="210" t="s">
        <v>1024</v>
      </c>
      <c r="K157" s="222">
        <f>SUM(K137:K142)+SUM(K147:K150)</f>
        <v>0.20287369714020026</v>
      </c>
      <c r="L157" s="909"/>
      <c r="M157" s="910"/>
    </row>
    <row r="158" spans="1:13" ht="18" customHeight="1" x14ac:dyDescent="0.45">
      <c r="A158" s="890"/>
      <c r="B158" s="891"/>
      <c r="C158" s="891"/>
      <c r="D158" s="891" t="s">
        <v>980</v>
      </c>
      <c r="E158" s="891"/>
      <c r="F158" s="913"/>
      <c r="G158" s="883" t="s">
        <v>1024</v>
      </c>
      <c r="H158" s="884"/>
      <c r="I158" s="885"/>
      <c r="J158" s="210" t="s">
        <v>1024</v>
      </c>
      <c r="K158" s="222">
        <f>SUM(K137:K142)-SUM(K143:K144)</f>
        <v>0</v>
      </c>
      <c r="L158" s="909"/>
      <c r="M158" s="910"/>
    </row>
    <row r="159" spans="1:13" ht="18" customHeight="1" x14ac:dyDescent="0.45">
      <c r="A159" s="914" t="s">
        <v>985</v>
      </c>
      <c r="B159" s="915" t="s">
        <v>1026</v>
      </c>
      <c r="C159" s="916"/>
      <c r="D159" s="886" t="s">
        <v>1027</v>
      </c>
      <c r="E159" s="887"/>
      <c r="F159" s="915" t="s">
        <v>1000</v>
      </c>
      <c r="G159" s="895" t="s">
        <v>1028</v>
      </c>
      <c r="H159" s="896"/>
      <c r="I159" s="897"/>
      <c r="J159" s="222">
        <f>63.2*H44^0.677</f>
        <v>0</v>
      </c>
      <c r="K159" s="221">
        <f>J159*$H$71%*(1+$H$71%)^$H$72/((1+$H$71%)^$H$72-1)</f>
        <v>0</v>
      </c>
      <c r="L159" s="909"/>
      <c r="M159" s="910"/>
    </row>
    <row r="160" spans="1:13" ht="18" customHeight="1" x14ac:dyDescent="0.45">
      <c r="A160" s="914"/>
      <c r="B160" s="912"/>
      <c r="C160" s="917"/>
      <c r="D160" s="886" t="s">
        <v>1029</v>
      </c>
      <c r="E160" s="887"/>
      <c r="F160" s="912"/>
      <c r="G160" s="895" t="s">
        <v>1030</v>
      </c>
      <c r="H160" s="896"/>
      <c r="I160" s="897"/>
      <c r="J160" s="222">
        <f>195.8*H44^0.531</f>
        <v>0</v>
      </c>
      <c r="K160" s="221">
        <f>J160*$H$71%*(1+$H$71%)^$H$73/((1+$H$71%)^$H$73-1)</f>
        <v>0</v>
      </c>
      <c r="L160" s="909"/>
      <c r="M160" s="910"/>
    </row>
    <row r="161" spans="1:13" ht="18" customHeight="1" x14ac:dyDescent="0.45">
      <c r="A161" s="914"/>
      <c r="B161" s="912"/>
      <c r="C161" s="917"/>
      <c r="D161" s="886" t="s">
        <v>1031</v>
      </c>
      <c r="E161" s="887"/>
      <c r="F161" s="912"/>
      <c r="G161" s="895" t="s">
        <v>1032</v>
      </c>
      <c r="H161" s="896"/>
      <c r="I161" s="897"/>
      <c r="J161" s="222">
        <f>19.6*H44^0.586</f>
        <v>0</v>
      </c>
      <c r="K161" s="221">
        <f>J161*$H$71%*(1+$H$71%)^$H$74/((1+$H$71%)^$H$74-1)</f>
        <v>0</v>
      </c>
      <c r="L161" s="909"/>
      <c r="M161" s="910"/>
    </row>
    <row r="162" spans="1:13" ht="18" customHeight="1" x14ac:dyDescent="0.45">
      <c r="A162" s="914"/>
      <c r="B162" s="913"/>
      <c r="C162" s="918"/>
      <c r="D162" s="886" t="s">
        <v>1033</v>
      </c>
      <c r="E162" s="887"/>
      <c r="F162" s="912"/>
      <c r="G162" s="895" t="s">
        <v>1034</v>
      </c>
      <c r="H162" s="896"/>
      <c r="I162" s="897"/>
      <c r="J162" s="222">
        <f>28.2*H44^0.569</f>
        <v>0</v>
      </c>
      <c r="K162" s="221">
        <f>J162*$H$71%*(1+$H$71%)^$H$76/((1+$H$71%)^$H$76-1)</f>
        <v>0</v>
      </c>
      <c r="L162" s="909"/>
      <c r="M162" s="910"/>
    </row>
    <row r="163" spans="1:13" ht="18" customHeight="1" x14ac:dyDescent="0.45">
      <c r="A163" s="914"/>
      <c r="B163" s="915" t="s">
        <v>1035</v>
      </c>
      <c r="C163" s="916"/>
      <c r="D163" s="886" t="s">
        <v>973</v>
      </c>
      <c r="E163" s="887"/>
      <c r="F163" s="912"/>
      <c r="G163" s="895" t="s">
        <v>1036</v>
      </c>
      <c r="H163" s="896"/>
      <c r="I163" s="897"/>
      <c r="J163" s="222">
        <f>39.6*H45^0.255</f>
        <v>0</v>
      </c>
      <c r="K163" s="221">
        <f>J163*$H$71%*(1+$H$71%)^$H$75/((1+$H$71%)^$H$75-1)</f>
        <v>0</v>
      </c>
      <c r="L163" s="909"/>
      <c r="M163" s="910"/>
    </row>
    <row r="164" spans="1:13" ht="18" customHeight="1" x14ac:dyDescent="0.45">
      <c r="A164" s="914"/>
      <c r="B164" s="913"/>
      <c r="C164" s="918"/>
      <c r="D164" s="886" t="s">
        <v>971</v>
      </c>
      <c r="E164" s="887"/>
      <c r="F164" s="912"/>
      <c r="G164" s="895" t="s">
        <v>1037</v>
      </c>
      <c r="H164" s="896"/>
      <c r="I164" s="897"/>
      <c r="J164" s="222">
        <f>4.3*H45^0.265</f>
        <v>0</v>
      </c>
      <c r="K164" s="221">
        <f>J164*$H$71%*(1+$H$71%)^$H$76/((1+$H$71%)^$H$76-1)</f>
        <v>0</v>
      </c>
      <c r="L164" s="909"/>
      <c r="M164" s="910"/>
    </row>
    <row r="165" spans="1:13" ht="18" customHeight="1" x14ac:dyDescent="0.45">
      <c r="A165" s="914"/>
      <c r="B165" s="915" t="s">
        <v>1038</v>
      </c>
      <c r="C165" s="916"/>
      <c r="D165" s="886" t="s">
        <v>973</v>
      </c>
      <c r="E165" s="887"/>
      <c r="F165" s="912"/>
      <c r="G165" s="895" t="s">
        <v>1039</v>
      </c>
      <c r="H165" s="896"/>
      <c r="I165" s="897"/>
      <c r="J165" s="222">
        <f>271.8</f>
        <v>271.8</v>
      </c>
      <c r="K165" s="221">
        <f>J165*$H$71%*(1+$H$71%)^$H$75/((1+$H$71%)^$H$75-1)</f>
        <v>21.630638695574955</v>
      </c>
      <c r="L165" s="909"/>
      <c r="M165" s="910"/>
    </row>
    <row r="166" spans="1:13" ht="18" customHeight="1" x14ac:dyDescent="0.45">
      <c r="A166" s="914"/>
      <c r="B166" s="913"/>
      <c r="C166" s="918"/>
      <c r="D166" s="886" t="s">
        <v>971</v>
      </c>
      <c r="E166" s="887"/>
      <c r="F166" s="912"/>
      <c r="G166" s="895" t="s">
        <v>1040</v>
      </c>
      <c r="H166" s="896"/>
      <c r="I166" s="897"/>
      <c r="J166" s="222">
        <f>13.7</f>
        <v>13.7</v>
      </c>
      <c r="K166" s="221">
        <f>J166*$H$71%*(1+$H$71%)^$H$76/((1+$H$71%)^$H$76-1)</f>
        <v>0.4639200554613529</v>
      </c>
      <c r="L166" s="909"/>
      <c r="M166" s="910"/>
    </row>
    <row r="167" spans="1:13" ht="18" customHeight="1" x14ac:dyDescent="0.45">
      <c r="A167" s="914"/>
      <c r="B167" s="911" t="s">
        <v>1017</v>
      </c>
      <c r="C167" s="916"/>
      <c r="D167" s="886" t="s">
        <v>973</v>
      </c>
      <c r="E167" s="887"/>
      <c r="F167" s="912"/>
      <c r="G167" s="895" t="s">
        <v>1041</v>
      </c>
      <c r="H167" s="896"/>
      <c r="I167" s="897"/>
      <c r="J167" s="222">
        <f>3.6*H45^0.505</f>
        <v>0</v>
      </c>
      <c r="K167" s="221">
        <f>J167*$H$71%*(1+$H$71%)^$H$75/((1+$H$71%)^$H$75-1)</f>
        <v>0</v>
      </c>
      <c r="L167" s="909"/>
      <c r="M167" s="910"/>
    </row>
    <row r="168" spans="1:13" ht="18" customHeight="1" x14ac:dyDescent="0.45">
      <c r="A168" s="914"/>
      <c r="B168" s="913"/>
      <c r="C168" s="918"/>
      <c r="D168" s="886" t="s">
        <v>971</v>
      </c>
      <c r="E168" s="887"/>
      <c r="F168" s="912"/>
      <c r="G168" s="895" t="s">
        <v>1042</v>
      </c>
      <c r="H168" s="896"/>
      <c r="I168" s="897"/>
      <c r="J168" s="222">
        <f>0.219*H45^0.596</f>
        <v>0</v>
      </c>
      <c r="K168" s="221">
        <f>J168*$H$71%*(1+$H$71%)^$H$76/((1+$H$71%)^$H$76-1)</f>
        <v>0</v>
      </c>
      <c r="L168" s="909"/>
      <c r="M168" s="910"/>
    </row>
    <row r="169" spans="1:13" ht="18" customHeight="1" x14ac:dyDescent="0.45">
      <c r="A169" s="914"/>
      <c r="B169" s="891" t="s">
        <v>1021</v>
      </c>
      <c r="C169" s="891" t="s">
        <v>1022</v>
      </c>
      <c r="D169" s="891" t="s">
        <v>986</v>
      </c>
      <c r="E169" s="891"/>
      <c r="F169" s="891" t="s">
        <v>1023</v>
      </c>
      <c r="G169" s="883" t="s">
        <v>1024</v>
      </c>
      <c r="H169" s="884"/>
      <c r="I169" s="885"/>
      <c r="J169" s="222">
        <f>SUM(J159:J164)+J167+J168</f>
        <v>0</v>
      </c>
      <c r="K169" s="210" t="s">
        <v>1024</v>
      </c>
      <c r="L169" s="909"/>
      <c r="M169" s="910"/>
    </row>
    <row r="170" spans="1:13" ht="18" customHeight="1" x14ac:dyDescent="0.45">
      <c r="A170" s="914"/>
      <c r="B170" s="891"/>
      <c r="C170" s="891"/>
      <c r="D170" s="891" t="s">
        <v>987</v>
      </c>
      <c r="E170" s="891"/>
      <c r="F170" s="891"/>
      <c r="G170" s="883" t="s">
        <v>1024</v>
      </c>
      <c r="H170" s="884"/>
      <c r="I170" s="885"/>
      <c r="J170" s="222">
        <f>SUM(J159:J168)</f>
        <v>285.5</v>
      </c>
      <c r="K170" s="210" t="s">
        <v>1024</v>
      </c>
      <c r="L170" s="909"/>
      <c r="M170" s="910"/>
    </row>
    <row r="171" spans="1:13" ht="18" customHeight="1" x14ac:dyDescent="0.45">
      <c r="A171" s="914"/>
      <c r="B171" s="891"/>
      <c r="C171" s="891"/>
      <c r="D171" s="891" t="s">
        <v>988</v>
      </c>
      <c r="E171" s="891"/>
      <c r="F171" s="891"/>
      <c r="G171" s="883" t="s">
        <v>1024</v>
      </c>
      <c r="H171" s="884"/>
      <c r="I171" s="885"/>
      <c r="J171" s="222">
        <f>SUM(J159:J162)</f>
        <v>0</v>
      </c>
      <c r="K171" s="210" t="s">
        <v>1024</v>
      </c>
      <c r="L171" s="909"/>
      <c r="M171" s="910"/>
    </row>
    <row r="172" spans="1:13" ht="18" customHeight="1" x14ac:dyDescent="0.45">
      <c r="A172" s="914"/>
      <c r="B172" s="891"/>
      <c r="C172" s="891" t="s">
        <v>1025</v>
      </c>
      <c r="D172" s="891" t="s">
        <v>986</v>
      </c>
      <c r="E172" s="891"/>
      <c r="F172" s="911" t="s">
        <v>977</v>
      </c>
      <c r="G172" s="883" t="s">
        <v>1024</v>
      </c>
      <c r="H172" s="884"/>
      <c r="I172" s="885"/>
      <c r="J172" s="210" t="s">
        <v>1024</v>
      </c>
      <c r="K172" s="222">
        <f>SUM(K159:K164)+K167+K168</f>
        <v>0</v>
      </c>
      <c r="L172" s="909"/>
      <c r="M172" s="910"/>
    </row>
    <row r="173" spans="1:13" ht="18" customHeight="1" x14ac:dyDescent="0.45">
      <c r="A173" s="914"/>
      <c r="B173" s="891"/>
      <c r="C173" s="891"/>
      <c r="D173" s="891" t="s">
        <v>987</v>
      </c>
      <c r="E173" s="891"/>
      <c r="F173" s="912"/>
      <c r="G173" s="883" t="s">
        <v>1024</v>
      </c>
      <c r="H173" s="884"/>
      <c r="I173" s="885"/>
      <c r="J173" s="210" t="s">
        <v>1024</v>
      </c>
      <c r="K173" s="222">
        <f>SUM(K159:K168)</f>
        <v>22.09455875103631</v>
      </c>
      <c r="L173" s="909"/>
      <c r="M173" s="910"/>
    </row>
    <row r="174" spans="1:13" ht="18" customHeight="1" x14ac:dyDescent="0.45">
      <c r="A174" s="914"/>
      <c r="B174" s="891"/>
      <c r="C174" s="891"/>
      <c r="D174" s="891" t="s">
        <v>988</v>
      </c>
      <c r="E174" s="891"/>
      <c r="F174" s="913"/>
      <c r="G174" s="883" t="s">
        <v>1024</v>
      </c>
      <c r="H174" s="884"/>
      <c r="I174" s="885"/>
      <c r="J174" s="210" t="s">
        <v>1024</v>
      </c>
      <c r="K174" s="222">
        <f>SUM(K159:K162)</f>
        <v>0</v>
      </c>
      <c r="L174" s="909"/>
      <c r="M174" s="910"/>
    </row>
    <row r="175" spans="1:13" ht="18" customHeight="1" x14ac:dyDescent="0.45">
      <c r="A175" s="207"/>
      <c r="G175" s="207"/>
      <c r="H175" s="207"/>
      <c r="I175" s="207"/>
      <c r="J175" s="217"/>
      <c r="K175" s="211"/>
      <c r="L175" s="211"/>
    </row>
    <row r="176" spans="1:13" ht="18" customHeight="1" x14ac:dyDescent="0.45">
      <c r="A176" s="207"/>
      <c r="G176" s="207"/>
      <c r="H176" s="207"/>
      <c r="I176" s="207"/>
      <c r="J176" s="217"/>
      <c r="K176" s="211"/>
      <c r="L176" s="211"/>
    </row>
    <row r="177" spans="1:12" ht="18" customHeight="1" x14ac:dyDescent="0.45">
      <c r="A177" s="206" t="s">
        <v>1043</v>
      </c>
      <c r="K177" s="211"/>
      <c r="L177" s="211"/>
    </row>
    <row r="178" spans="1:12" ht="18" customHeight="1" x14ac:dyDescent="0.45">
      <c r="K178" s="211"/>
      <c r="L178" s="211"/>
    </row>
    <row r="179" spans="1:12" ht="18" customHeight="1" x14ac:dyDescent="0.45">
      <c r="A179" s="218" t="s">
        <v>990</v>
      </c>
      <c r="B179" s="883" t="s">
        <v>991</v>
      </c>
      <c r="C179" s="884"/>
      <c r="D179" s="884"/>
      <c r="E179" s="885"/>
      <c r="F179" s="218" t="s">
        <v>992</v>
      </c>
      <c r="G179" s="883" t="s">
        <v>993</v>
      </c>
      <c r="H179" s="884"/>
      <c r="I179" s="885"/>
      <c r="J179" s="212" t="s">
        <v>1044</v>
      </c>
      <c r="K179" s="919" t="s">
        <v>996</v>
      </c>
      <c r="L179" s="919"/>
    </row>
    <row r="180" spans="1:12" ht="18" customHeight="1" x14ac:dyDescent="0.45">
      <c r="A180" s="914" t="s">
        <v>885</v>
      </c>
      <c r="B180" s="891" t="s">
        <v>997</v>
      </c>
      <c r="C180" s="891" t="s">
        <v>998</v>
      </c>
      <c r="D180" s="891"/>
      <c r="E180" s="891"/>
      <c r="F180" s="911" t="s">
        <v>977</v>
      </c>
      <c r="G180" s="920" t="s">
        <v>1045</v>
      </c>
      <c r="H180" s="920"/>
      <c r="I180" s="920"/>
      <c r="J180" s="220">
        <f>0.03*(0.5*H37)^0.628</f>
        <v>0</v>
      </c>
      <c r="K180" s="905" t="s">
        <v>1046</v>
      </c>
      <c r="L180" s="906"/>
    </row>
    <row r="181" spans="1:12" ht="18" customHeight="1" x14ac:dyDescent="0.45">
      <c r="A181" s="914"/>
      <c r="B181" s="891"/>
      <c r="C181" s="891" t="s">
        <v>1003</v>
      </c>
      <c r="D181" s="891"/>
      <c r="E181" s="891"/>
      <c r="F181" s="912"/>
      <c r="G181" s="920" t="s">
        <v>1047</v>
      </c>
      <c r="H181" s="920"/>
      <c r="I181" s="920"/>
      <c r="J181" s="220">
        <f>0.661*(0.5*H37)^0.573</f>
        <v>0</v>
      </c>
      <c r="K181" s="921"/>
      <c r="L181" s="922"/>
    </row>
    <row r="182" spans="1:12" ht="18" customHeight="1" x14ac:dyDescent="0.45">
      <c r="A182" s="914"/>
      <c r="B182" s="891" t="s">
        <v>966</v>
      </c>
      <c r="C182" s="904" t="s">
        <v>1048</v>
      </c>
      <c r="D182" s="904"/>
      <c r="E182" s="904"/>
      <c r="F182" s="912"/>
      <c r="G182" s="920" t="s">
        <v>1049</v>
      </c>
      <c r="H182" s="920"/>
      <c r="I182" s="920"/>
      <c r="J182" s="220">
        <f>0.171*(H38*365*0.8)^0.39</f>
        <v>0</v>
      </c>
      <c r="K182" s="907"/>
      <c r="L182" s="908"/>
    </row>
    <row r="183" spans="1:12" ht="18" customHeight="1" x14ac:dyDescent="0.45">
      <c r="A183" s="914"/>
      <c r="B183" s="891"/>
      <c r="C183" s="891" t="s">
        <v>1009</v>
      </c>
      <c r="D183" s="891"/>
      <c r="E183" s="891"/>
      <c r="F183" s="912"/>
      <c r="G183" s="920" t="s">
        <v>1050</v>
      </c>
      <c r="H183" s="920"/>
      <c r="I183" s="920"/>
      <c r="J183" s="220">
        <f>0.0796*H41^0.761</f>
        <v>0</v>
      </c>
      <c r="K183" s="905" t="s">
        <v>957</v>
      </c>
      <c r="L183" s="906"/>
    </row>
    <row r="184" spans="1:12" ht="18" customHeight="1" x14ac:dyDescent="0.45">
      <c r="A184" s="914"/>
      <c r="B184" s="891"/>
      <c r="C184" s="891" t="s">
        <v>1011</v>
      </c>
      <c r="D184" s="891"/>
      <c r="E184" s="891"/>
      <c r="F184" s="912"/>
      <c r="G184" s="920" t="s">
        <v>1051</v>
      </c>
      <c r="H184" s="920"/>
      <c r="I184" s="920"/>
      <c r="J184" s="220">
        <f>0.283*H42^0.302</f>
        <v>0</v>
      </c>
      <c r="K184" s="907"/>
      <c r="L184" s="908"/>
    </row>
    <row r="185" spans="1:12" ht="18" customHeight="1" x14ac:dyDescent="0.45">
      <c r="A185" s="914"/>
      <c r="B185" s="891" t="s">
        <v>1052</v>
      </c>
      <c r="C185" s="891"/>
      <c r="D185" s="891"/>
      <c r="E185" s="891"/>
      <c r="F185" s="912"/>
      <c r="G185" s="920" t="s">
        <v>1053</v>
      </c>
      <c r="H185" s="920"/>
      <c r="I185" s="920"/>
      <c r="J185" s="220">
        <f>(0.039*(H39*365*0.8)^0.596)-(0.039*(H46*365*0.8)^0.596)</f>
        <v>0</v>
      </c>
      <c r="K185" s="905" t="s">
        <v>1054</v>
      </c>
      <c r="L185" s="906"/>
    </row>
    <row r="186" spans="1:12" ht="18" customHeight="1" x14ac:dyDescent="0.45">
      <c r="A186" s="914"/>
      <c r="B186" s="891" t="s">
        <v>1055</v>
      </c>
      <c r="C186" s="891"/>
      <c r="D186" s="891"/>
      <c r="E186" s="891"/>
      <c r="F186" s="912"/>
      <c r="G186" s="920" t="s">
        <v>1053</v>
      </c>
      <c r="H186" s="920"/>
      <c r="I186" s="920"/>
      <c r="J186" s="220">
        <f>(0.039*(H40*365*0.8)^0.596)-(0.039*(H46*365*0.8)^0.596)</f>
        <v>0</v>
      </c>
      <c r="K186" s="907"/>
      <c r="L186" s="908"/>
    </row>
    <row r="187" spans="1:12" ht="18" customHeight="1" x14ac:dyDescent="0.45">
      <c r="A187" s="914"/>
      <c r="B187" s="904" t="s">
        <v>1056</v>
      </c>
      <c r="C187" s="891"/>
      <c r="D187" s="891"/>
      <c r="E187" s="891"/>
      <c r="F187" s="912"/>
      <c r="G187" s="939" t="s">
        <v>1057</v>
      </c>
      <c r="H187" s="940"/>
      <c r="I187" s="941"/>
      <c r="J187" s="923">
        <f>(1/(100-79)*(H39*0.9*365*0.8)*$H$54/10^6)-1/(100-80)*(H46*0.9*365*0.8+H46*365*0.8*0.25*0.11*107/56)*$H$54/10^6</f>
        <v>0</v>
      </c>
      <c r="K187" s="905" t="s">
        <v>1058</v>
      </c>
      <c r="L187" s="906"/>
    </row>
    <row r="188" spans="1:12" ht="18" customHeight="1" x14ac:dyDescent="0.45">
      <c r="A188" s="914"/>
      <c r="B188" s="891"/>
      <c r="C188" s="891"/>
      <c r="D188" s="891"/>
      <c r="E188" s="891"/>
      <c r="F188" s="912"/>
      <c r="G188" s="942"/>
      <c r="H188" s="943"/>
      <c r="I188" s="944"/>
      <c r="J188" s="923"/>
      <c r="K188" s="921"/>
      <c r="L188" s="922"/>
    </row>
    <row r="189" spans="1:12" ht="18" customHeight="1" x14ac:dyDescent="0.45">
      <c r="A189" s="914"/>
      <c r="B189" s="904" t="s">
        <v>1059</v>
      </c>
      <c r="C189" s="891"/>
      <c r="D189" s="891"/>
      <c r="E189" s="891"/>
      <c r="F189" s="912"/>
      <c r="G189" s="942"/>
      <c r="H189" s="943"/>
      <c r="I189" s="944"/>
      <c r="J189" s="923">
        <f>(1/(100-82)*(H40*0.9*365*0.8)*$H$54/10^6)-1/(100-80)*(H46*0.9*365*0.8+H46*365*0.8*0.25*0.11*107/56)*$H$54/10^6</f>
        <v>0</v>
      </c>
      <c r="K189" s="921"/>
      <c r="L189" s="922"/>
    </row>
    <row r="190" spans="1:12" ht="18" customHeight="1" x14ac:dyDescent="0.45">
      <c r="A190" s="914"/>
      <c r="B190" s="891"/>
      <c r="C190" s="891"/>
      <c r="D190" s="891"/>
      <c r="E190" s="891"/>
      <c r="F190" s="912"/>
      <c r="G190" s="945"/>
      <c r="H190" s="946"/>
      <c r="I190" s="947"/>
      <c r="J190" s="923"/>
      <c r="K190" s="907"/>
      <c r="L190" s="908"/>
    </row>
    <row r="191" spans="1:12" ht="18" customHeight="1" x14ac:dyDescent="0.45">
      <c r="A191" s="914"/>
      <c r="B191" s="891" t="s">
        <v>1017</v>
      </c>
      <c r="C191" s="891"/>
      <c r="D191" s="891"/>
      <c r="E191" s="891"/>
      <c r="F191" s="912"/>
      <c r="G191" s="920" t="s">
        <v>1060</v>
      </c>
      <c r="H191" s="920"/>
      <c r="I191" s="920"/>
      <c r="J191" s="220">
        <f>0.0579*H43</f>
        <v>0</v>
      </c>
      <c r="K191" s="924" t="s">
        <v>1019</v>
      </c>
      <c r="L191" s="924"/>
    </row>
    <row r="192" spans="1:12" ht="18" customHeight="1" x14ac:dyDescent="0.45">
      <c r="A192" s="914"/>
      <c r="B192" s="911" t="s">
        <v>1061</v>
      </c>
      <c r="C192" s="925"/>
      <c r="D192" s="925"/>
      <c r="E192" s="916"/>
      <c r="F192" s="912"/>
      <c r="G192" s="927" t="s">
        <v>1062</v>
      </c>
      <c r="H192" s="928"/>
      <c r="I192" s="929"/>
      <c r="J192" s="933">
        <f>H38*0.01*0.8*0.8*500*21.5*0.32*0.9*1000/3600*355*16.5/10^6</f>
        <v>0</v>
      </c>
      <c r="K192" s="935"/>
      <c r="L192" s="936"/>
    </row>
    <row r="193" spans="1:12" ht="18" customHeight="1" x14ac:dyDescent="0.45">
      <c r="A193" s="914"/>
      <c r="B193" s="913"/>
      <c r="C193" s="926"/>
      <c r="D193" s="926"/>
      <c r="E193" s="918"/>
      <c r="F193" s="912"/>
      <c r="G193" s="930"/>
      <c r="H193" s="931"/>
      <c r="I193" s="932"/>
      <c r="J193" s="934"/>
      <c r="K193" s="937"/>
      <c r="L193" s="938"/>
    </row>
    <row r="194" spans="1:12" ht="18" customHeight="1" x14ac:dyDescent="0.45">
      <c r="A194" s="914"/>
      <c r="B194" s="891" t="s">
        <v>1021</v>
      </c>
      <c r="C194" s="891"/>
      <c r="D194" s="891" t="s">
        <v>894</v>
      </c>
      <c r="E194" s="891"/>
      <c r="F194" s="912"/>
      <c r="G194" s="891" t="s">
        <v>1024</v>
      </c>
      <c r="H194" s="891"/>
      <c r="I194" s="891"/>
      <c r="J194" s="220">
        <f>J180+J181+J185+J187</f>
        <v>0</v>
      </c>
      <c r="K194" s="924"/>
      <c r="L194" s="924"/>
    </row>
    <row r="195" spans="1:12" ht="18" customHeight="1" x14ac:dyDescent="0.45">
      <c r="A195" s="914"/>
      <c r="B195" s="891"/>
      <c r="C195" s="891"/>
      <c r="D195" s="891" t="s">
        <v>978</v>
      </c>
      <c r="E195" s="891"/>
      <c r="F195" s="912"/>
      <c r="G195" s="891" t="s">
        <v>1024</v>
      </c>
      <c r="H195" s="891"/>
      <c r="I195" s="891"/>
      <c r="J195" s="220">
        <f>J180+J181+J182+J186+J189</f>
        <v>0</v>
      </c>
      <c r="K195" s="924"/>
      <c r="L195" s="924"/>
    </row>
    <row r="196" spans="1:12" ht="18" customHeight="1" x14ac:dyDescent="0.45">
      <c r="A196" s="914"/>
      <c r="B196" s="891"/>
      <c r="C196" s="891"/>
      <c r="D196" s="891" t="s">
        <v>979</v>
      </c>
      <c r="E196" s="891"/>
      <c r="F196" s="912"/>
      <c r="G196" s="891" t="s">
        <v>1024</v>
      </c>
      <c r="H196" s="891"/>
      <c r="I196" s="891"/>
      <c r="J196" s="220">
        <f>J180+J181+J182+J186+J189+J191-J192</f>
        <v>0</v>
      </c>
      <c r="K196" s="924"/>
      <c r="L196" s="924"/>
    </row>
    <row r="197" spans="1:12" ht="18" customHeight="1" x14ac:dyDescent="0.45">
      <c r="A197" s="914"/>
      <c r="B197" s="891"/>
      <c r="C197" s="891"/>
      <c r="D197" s="891" t="s">
        <v>980</v>
      </c>
      <c r="E197" s="891"/>
      <c r="F197" s="912"/>
      <c r="G197" s="891" t="s">
        <v>1024</v>
      </c>
      <c r="H197" s="891"/>
      <c r="I197" s="891"/>
      <c r="J197" s="220">
        <f>J180+J181+J182-J183-J184</f>
        <v>0</v>
      </c>
      <c r="K197" s="924"/>
      <c r="L197" s="924"/>
    </row>
    <row r="198" spans="1:12" ht="18" customHeight="1" x14ac:dyDescent="0.45">
      <c r="A198" s="888" t="s">
        <v>985</v>
      </c>
      <c r="B198" s="891" t="s">
        <v>1063</v>
      </c>
      <c r="C198" s="904" t="s">
        <v>1026</v>
      </c>
      <c r="D198" s="904"/>
      <c r="E198" s="212" t="s">
        <v>1064</v>
      </c>
      <c r="F198" s="912"/>
      <c r="G198" s="920" t="s">
        <v>1065</v>
      </c>
      <c r="H198" s="920"/>
      <c r="I198" s="920"/>
      <c r="J198" s="220">
        <f>0.35*H44^0.628</f>
        <v>0</v>
      </c>
      <c r="K198" s="924"/>
      <c r="L198" s="924"/>
    </row>
    <row r="199" spans="1:12" ht="18" customHeight="1" x14ac:dyDescent="0.45">
      <c r="A199" s="889"/>
      <c r="B199" s="891"/>
      <c r="C199" s="904"/>
      <c r="D199" s="904"/>
      <c r="E199" s="212" t="s">
        <v>1066</v>
      </c>
      <c r="F199" s="912"/>
      <c r="G199" s="920" t="s">
        <v>1067</v>
      </c>
      <c r="H199" s="920"/>
      <c r="I199" s="920"/>
      <c r="J199" s="220">
        <f>0.73*H44^0.887*($H$49/16.5)</f>
        <v>0</v>
      </c>
      <c r="K199" s="924"/>
      <c r="L199" s="924"/>
    </row>
    <row r="200" spans="1:12" ht="18" customHeight="1" x14ac:dyDescent="0.45">
      <c r="A200" s="889"/>
      <c r="B200" s="891"/>
      <c r="C200" s="904"/>
      <c r="D200" s="904"/>
      <c r="E200" s="212" t="s">
        <v>1068</v>
      </c>
      <c r="F200" s="912"/>
      <c r="G200" s="948" t="s">
        <v>1069</v>
      </c>
      <c r="H200" s="948"/>
      <c r="I200" s="948"/>
      <c r="J200" s="220">
        <f>0.58*H44*($H$50/566)+1.51*H44*($H$52/38.9)</f>
        <v>0</v>
      </c>
      <c r="K200" s="924"/>
      <c r="L200" s="924"/>
    </row>
    <row r="201" spans="1:12" ht="18" customHeight="1" x14ac:dyDescent="0.45">
      <c r="A201" s="889"/>
      <c r="B201" s="891"/>
      <c r="C201" s="904"/>
      <c r="D201" s="904"/>
      <c r="E201" s="212" t="s">
        <v>1070</v>
      </c>
      <c r="F201" s="912"/>
      <c r="G201" s="920" t="s">
        <v>1071</v>
      </c>
      <c r="H201" s="920"/>
      <c r="I201" s="920"/>
      <c r="J201" s="220">
        <f>2.7*H44^0.509</f>
        <v>0</v>
      </c>
      <c r="K201" s="924"/>
      <c r="L201" s="924"/>
    </row>
    <row r="202" spans="1:12" ht="18" customHeight="1" x14ac:dyDescent="0.45">
      <c r="A202" s="889"/>
      <c r="B202" s="891"/>
      <c r="C202" s="904"/>
      <c r="D202" s="904"/>
      <c r="E202" s="212" t="s">
        <v>929</v>
      </c>
      <c r="F202" s="912"/>
      <c r="G202" s="920" t="s">
        <v>1072</v>
      </c>
      <c r="H202" s="920"/>
      <c r="I202" s="920"/>
      <c r="J202" s="220">
        <f>7*($H$53/7)</f>
        <v>7</v>
      </c>
      <c r="K202" s="924"/>
      <c r="L202" s="924"/>
    </row>
    <row r="203" spans="1:12" ht="18" customHeight="1" x14ac:dyDescent="0.45">
      <c r="A203" s="889"/>
      <c r="B203" s="891"/>
      <c r="C203" s="904" t="s">
        <v>1035</v>
      </c>
      <c r="D203" s="904"/>
      <c r="E203" s="212" t="s">
        <v>1066</v>
      </c>
      <c r="F203" s="912"/>
      <c r="G203" s="920" t="s">
        <v>1073</v>
      </c>
      <c r="H203" s="920"/>
      <c r="I203" s="920"/>
      <c r="J203" s="220">
        <f>0.62*H45^0.285*($H$49/16.5)</f>
        <v>0</v>
      </c>
      <c r="K203" s="924"/>
      <c r="L203" s="924"/>
    </row>
    <row r="204" spans="1:12" ht="18" customHeight="1" x14ac:dyDescent="0.45">
      <c r="A204" s="889"/>
      <c r="B204" s="891"/>
      <c r="C204" s="904"/>
      <c r="D204" s="904"/>
      <c r="E204" s="212" t="s">
        <v>1074</v>
      </c>
      <c r="F204" s="912"/>
      <c r="G204" s="920" t="s">
        <v>1075</v>
      </c>
      <c r="H204" s="920"/>
      <c r="I204" s="920"/>
      <c r="J204" s="220">
        <f>4.3*($H$51/309.1)</f>
        <v>4.3</v>
      </c>
      <c r="K204" s="924"/>
      <c r="L204" s="924"/>
    </row>
    <row r="205" spans="1:12" ht="18" customHeight="1" x14ac:dyDescent="0.45">
      <c r="A205" s="889"/>
      <c r="B205" s="891"/>
      <c r="C205" s="904"/>
      <c r="D205" s="904"/>
      <c r="E205" s="212" t="s">
        <v>1070</v>
      </c>
      <c r="F205" s="912"/>
      <c r="G205" s="920" t="s">
        <v>1076</v>
      </c>
      <c r="H205" s="920"/>
      <c r="I205" s="920"/>
      <c r="J205" s="220">
        <f>1.9*H45^0.195</f>
        <v>0</v>
      </c>
      <c r="K205" s="924"/>
      <c r="L205" s="924"/>
    </row>
    <row r="206" spans="1:12" ht="18" customHeight="1" x14ac:dyDescent="0.45">
      <c r="A206" s="889"/>
      <c r="B206" s="891" t="s">
        <v>986</v>
      </c>
      <c r="C206" s="891" t="s">
        <v>1017</v>
      </c>
      <c r="D206" s="891"/>
      <c r="E206" s="212" t="s">
        <v>1070</v>
      </c>
      <c r="F206" s="912"/>
      <c r="G206" s="920" t="s">
        <v>1077</v>
      </c>
      <c r="H206" s="920"/>
      <c r="I206" s="920"/>
      <c r="J206" s="220">
        <f>0.026*H45^0.771</f>
        <v>0</v>
      </c>
      <c r="K206" s="924"/>
      <c r="L206" s="924"/>
    </row>
    <row r="207" spans="1:12" ht="18" customHeight="1" x14ac:dyDescent="0.45">
      <c r="A207" s="889"/>
      <c r="B207" s="891"/>
      <c r="C207" s="891"/>
      <c r="D207" s="891"/>
      <c r="E207" s="212" t="s">
        <v>1078</v>
      </c>
      <c r="F207" s="912"/>
      <c r="G207" s="920" t="s">
        <v>1079</v>
      </c>
      <c r="H207" s="920"/>
      <c r="I207" s="920"/>
      <c r="J207" s="220">
        <f>0.0092*H45*($H$49/16.5)</f>
        <v>0</v>
      </c>
      <c r="K207" s="924"/>
      <c r="L207" s="924"/>
    </row>
    <row r="208" spans="1:12" ht="18" customHeight="1" x14ac:dyDescent="0.45">
      <c r="A208" s="889"/>
      <c r="B208" s="904" t="s">
        <v>987</v>
      </c>
      <c r="C208" s="891" t="s">
        <v>1017</v>
      </c>
      <c r="D208" s="891"/>
      <c r="E208" s="212" t="s">
        <v>1070</v>
      </c>
      <c r="F208" s="912"/>
      <c r="G208" s="920" t="s">
        <v>1077</v>
      </c>
      <c r="H208" s="920"/>
      <c r="I208" s="920"/>
      <c r="J208" s="220">
        <f>0.026*H45^0.771</f>
        <v>0</v>
      </c>
      <c r="K208" s="924"/>
      <c r="L208" s="924"/>
    </row>
    <row r="209" spans="1:12" ht="18" customHeight="1" x14ac:dyDescent="0.45">
      <c r="A209" s="889"/>
      <c r="B209" s="891"/>
      <c r="C209" s="891"/>
      <c r="D209" s="891"/>
      <c r="E209" s="212" t="s">
        <v>1080</v>
      </c>
      <c r="F209" s="912"/>
      <c r="G209" s="920" t="s">
        <v>1081</v>
      </c>
      <c r="H209" s="920"/>
      <c r="I209" s="920"/>
      <c r="J209" s="220">
        <f>0.0087*H45^1.007*($H$49/16.5)</f>
        <v>0</v>
      </c>
      <c r="K209" s="924"/>
      <c r="L209" s="924"/>
    </row>
    <row r="210" spans="1:12" ht="18" customHeight="1" x14ac:dyDescent="0.45">
      <c r="A210" s="889"/>
      <c r="B210" s="891"/>
      <c r="C210" s="904" t="s">
        <v>1038</v>
      </c>
      <c r="D210" s="891"/>
      <c r="E210" s="212" t="s">
        <v>1066</v>
      </c>
      <c r="F210" s="912"/>
      <c r="G210" s="920" t="s">
        <v>1082</v>
      </c>
      <c r="H210" s="920"/>
      <c r="I210" s="920"/>
      <c r="J210" s="220">
        <f>1*($H$49/16.5)</f>
        <v>1</v>
      </c>
      <c r="K210" s="924"/>
      <c r="L210" s="924"/>
    </row>
    <row r="211" spans="1:12" ht="18" customHeight="1" x14ac:dyDescent="0.45">
      <c r="A211" s="889"/>
      <c r="B211" s="891"/>
      <c r="C211" s="891"/>
      <c r="D211" s="891"/>
      <c r="E211" s="212" t="s">
        <v>1074</v>
      </c>
      <c r="F211" s="912"/>
      <c r="G211" s="920" t="s">
        <v>1083</v>
      </c>
      <c r="H211" s="920"/>
      <c r="I211" s="920"/>
      <c r="J211" s="220">
        <f>0.0055*($H$51/309.1)</f>
        <v>5.4999999999999997E-3</v>
      </c>
      <c r="K211" s="924"/>
      <c r="L211" s="924"/>
    </row>
    <row r="212" spans="1:12" ht="18" customHeight="1" x14ac:dyDescent="0.45">
      <c r="A212" s="889"/>
      <c r="B212" s="891"/>
      <c r="C212" s="891"/>
      <c r="D212" s="891"/>
      <c r="E212" s="212" t="s">
        <v>1070</v>
      </c>
      <c r="F212" s="912"/>
      <c r="G212" s="920" t="s">
        <v>1084</v>
      </c>
      <c r="H212" s="920"/>
      <c r="I212" s="920"/>
      <c r="J212" s="220">
        <f>8.4</f>
        <v>8.4</v>
      </c>
      <c r="K212" s="924"/>
      <c r="L212" s="924"/>
    </row>
    <row r="213" spans="1:12" ht="18" customHeight="1" x14ac:dyDescent="0.45">
      <c r="A213" s="889"/>
      <c r="B213" s="911" t="s">
        <v>1021</v>
      </c>
      <c r="C213" s="916"/>
      <c r="D213" s="891" t="s">
        <v>986</v>
      </c>
      <c r="E213" s="891"/>
      <c r="F213" s="912"/>
      <c r="G213" s="891" t="s">
        <v>1024</v>
      </c>
      <c r="H213" s="891"/>
      <c r="I213" s="891"/>
      <c r="J213" s="220">
        <f>SUM(J198:J206)-J207</f>
        <v>11.3</v>
      </c>
      <c r="K213" s="924"/>
      <c r="L213" s="924"/>
    </row>
    <row r="214" spans="1:12" ht="18" customHeight="1" x14ac:dyDescent="0.45">
      <c r="A214" s="889"/>
      <c r="B214" s="912"/>
      <c r="C214" s="917"/>
      <c r="D214" s="891" t="s">
        <v>987</v>
      </c>
      <c r="E214" s="891"/>
      <c r="F214" s="912"/>
      <c r="G214" s="891" t="s">
        <v>1024</v>
      </c>
      <c r="H214" s="891"/>
      <c r="I214" s="891"/>
      <c r="J214" s="220">
        <f>SUM(J198:J205)+J208-J209+SUM(J210:J212)</f>
        <v>20.705500000000001</v>
      </c>
      <c r="K214" s="924"/>
      <c r="L214" s="924"/>
    </row>
    <row r="215" spans="1:12" ht="18" customHeight="1" x14ac:dyDescent="0.45">
      <c r="A215" s="890"/>
      <c r="B215" s="913"/>
      <c r="C215" s="918"/>
      <c r="D215" s="891" t="s">
        <v>988</v>
      </c>
      <c r="E215" s="891"/>
      <c r="F215" s="913"/>
      <c r="G215" s="891" t="s">
        <v>1024</v>
      </c>
      <c r="H215" s="891"/>
      <c r="I215" s="891"/>
      <c r="J215" s="220">
        <f>J198+J199+H44*1000*0.8*0.35/100*365*$H$50/10^6+J201+J202</f>
        <v>7</v>
      </c>
      <c r="K215" s="924" t="s">
        <v>1085</v>
      </c>
      <c r="L215" s="924"/>
    </row>
    <row r="216" spans="1:12" ht="18" customHeight="1" x14ac:dyDescent="0.45">
      <c r="K216" s="211"/>
      <c r="L216" s="211"/>
    </row>
    <row r="217" spans="1:12" ht="18" customHeight="1" x14ac:dyDescent="0.45">
      <c r="K217" s="211"/>
      <c r="L217" s="211"/>
    </row>
    <row r="218" spans="1:12" ht="18" customHeight="1" x14ac:dyDescent="0.45">
      <c r="K218" s="211"/>
      <c r="L218" s="211"/>
    </row>
    <row r="219" spans="1:12" ht="18" customHeight="1" x14ac:dyDescent="0.45">
      <c r="A219" s="206" t="s">
        <v>1086</v>
      </c>
      <c r="K219" s="211"/>
      <c r="L219" s="211"/>
    </row>
    <row r="220" spans="1:12" ht="18" customHeight="1" x14ac:dyDescent="0.45">
      <c r="K220" s="211"/>
      <c r="L220" s="211"/>
    </row>
    <row r="221" spans="1:12" ht="18" customHeight="1" x14ac:dyDescent="0.45">
      <c r="A221" s="218" t="s">
        <v>990</v>
      </c>
      <c r="B221" s="883" t="s">
        <v>991</v>
      </c>
      <c r="C221" s="884"/>
      <c r="D221" s="884"/>
      <c r="E221" s="885"/>
      <c r="F221" s="218" t="s">
        <v>992</v>
      </c>
      <c r="G221" s="883" t="s">
        <v>993</v>
      </c>
      <c r="H221" s="884"/>
      <c r="I221" s="885"/>
      <c r="J221" s="212" t="s">
        <v>1087</v>
      </c>
      <c r="K221" s="919" t="s">
        <v>996</v>
      </c>
      <c r="L221" s="919"/>
    </row>
    <row r="222" spans="1:12" ht="18" customHeight="1" x14ac:dyDescent="0.45">
      <c r="A222" s="957" t="s">
        <v>885</v>
      </c>
      <c r="B222" s="891" t="s">
        <v>997</v>
      </c>
      <c r="C222" s="891"/>
      <c r="D222" s="891" t="s">
        <v>998</v>
      </c>
      <c r="E222" s="891"/>
      <c r="F222" s="960" t="s">
        <v>982</v>
      </c>
      <c r="G222" s="948" t="s">
        <v>1088</v>
      </c>
      <c r="H222" s="948"/>
      <c r="I222" s="948"/>
      <c r="J222" s="220">
        <f>7*(0.5*H37*0.8)*0.01*9.484*365/1000</f>
        <v>0</v>
      </c>
      <c r="K222" s="905" t="s">
        <v>1089</v>
      </c>
      <c r="L222" s="936"/>
    </row>
    <row r="223" spans="1:12" ht="18" customHeight="1" x14ac:dyDescent="0.45">
      <c r="A223" s="958"/>
      <c r="B223" s="891"/>
      <c r="C223" s="891"/>
      <c r="D223" s="891" t="s">
        <v>1003</v>
      </c>
      <c r="E223" s="891"/>
      <c r="F223" s="893"/>
      <c r="G223" s="948" t="s">
        <v>1090</v>
      </c>
      <c r="H223" s="948"/>
      <c r="I223" s="948"/>
      <c r="J223" s="222">
        <f>212*(0.5*H37*0.8)*0.01*9.484*365/1000</f>
        <v>0</v>
      </c>
      <c r="K223" s="937"/>
      <c r="L223" s="938"/>
    </row>
    <row r="224" spans="1:12" ht="26.25" customHeight="1" x14ac:dyDescent="0.45">
      <c r="A224" s="958"/>
      <c r="B224" s="891" t="s">
        <v>966</v>
      </c>
      <c r="C224" s="891"/>
      <c r="D224" s="891"/>
      <c r="E224" s="891"/>
      <c r="F224" s="893"/>
      <c r="G224" s="948" t="s">
        <v>1091</v>
      </c>
      <c r="H224" s="948"/>
      <c r="I224" s="948"/>
      <c r="J224" s="222">
        <f>5.3*(H38*0.8/3.3)*9.484*365/1000</f>
        <v>0</v>
      </c>
      <c r="K224" s="949" t="s">
        <v>1092</v>
      </c>
      <c r="L224" s="950"/>
    </row>
    <row r="225" spans="1:12" ht="27" customHeight="1" x14ac:dyDescent="0.45">
      <c r="A225" s="958"/>
      <c r="B225" s="904" t="s">
        <v>1093</v>
      </c>
      <c r="C225" s="891"/>
      <c r="D225" s="891" t="s">
        <v>894</v>
      </c>
      <c r="E225" s="891"/>
      <c r="F225" s="893"/>
      <c r="G225" s="951" t="s">
        <v>1094</v>
      </c>
      <c r="H225" s="952"/>
      <c r="I225" s="953"/>
      <c r="J225" s="222">
        <f>(1575.4*(H39/100*0.8*365)^0.6723-62.631*(H46/100*0.8*365)^1.2091)*9.484/1000</f>
        <v>0</v>
      </c>
      <c r="K225" s="924"/>
      <c r="L225" s="924"/>
    </row>
    <row r="226" spans="1:12" ht="27" customHeight="1" x14ac:dyDescent="0.45">
      <c r="A226" s="958"/>
      <c r="B226" s="891"/>
      <c r="C226" s="891"/>
      <c r="D226" s="891" t="s">
        <v>896</v>
      </c>
      <c r="E226" s="891"/>
      <c r="F226" s="893"/>
      <c r="G226" s="954"/>
      <c r="H226" s="955"/>
      <c r="I226" s="956"/>
      <c r="J226" s="222">
        <f>(62.631*(H40/100*0.8*365)^1.2091-62.631*(H46/100*0.8*365)^1.2091)*9.484/1000</f>
        <v>0</v>
      </c>
      <c r="K226" s="924"/>
      <c r="L226" s="924"/>
    </row>
    <row r="227" spans="1:12" ht="18" customHeight="1" x14ac:dyDescent="0.45">
      <c r="A227" s="958"/>
      <c r="B227" s="911" t="s">
        <v>1017</v>
      </c>
      <c r="C227" s="925"/>
      <c r="D227" s="925"/>
      <c r="E227" s="916"/>
      <c r="F227" s="893"/>
      <c r="G227" s="939" t="s">
        <v>1095</v>
      </c>
      <c r="H227" s="961"/>
      <c r="I227" s="962"/>
      <c r="J227" s="966">
        <f>(H38*0.01*0.8*0.8*500*21.5*0.32*0.9*1000/3600*355)*9.484/1000</f>
        <v>0</v>
      </c>
      <c r="K227" s="968"/>
      <c r="L227" s="969"/>
    </row>
    <row r="228" spans="1:12" ht="18" customHeight="1" x14ac:dyDescent="0.45">
      <c r="A228" s="958"/>
      <c r="B228" s="913"/>
      <c r="C228" s="926"/>
      <c r="D228" s="926"/>
      <c r="E228" s="918"/>
      <c r="F228" s="893"/>
      <c r="G228" s="963"/>
      <c r="H228" s="964"/>
      <c r="I228" s="965"/>
      <c r="J228" s="967"/>
      <c r="K228" s="970"/>
      <c r="L228" s="971"/>
    </row>
    <row r="229" spans="1:12" ht="18" customHeight="1" x14ac:dyDescent="0.45">
      <c r="A229" s="958"/>
      <c r="B229" s="915" t="s">
        <v>981</v>
      </c>
      <c r="C229" s="972"/>
      <c r="D229" s="891" t="s">
        <v>894</v>
      </c>
      <c r="E229" s="891"/>
      <c r="F229" s="893"/>
      <c r="G229" s="891" t="s">
        <v>1024</v>
      </c>
      <c r="H229" s="891"/>
      <c r="I229" s="891"/>
      <c r="J229" s="222">
        <f>-(J222+J223+J225)</f>
        <v>0</v>
      </c>
      <c r="K229" s="924"/>
      <c r="L229" s="924"/>
    </row>
    <row r="230" spans="1:12" ht="18" customHeight="1" x14ac:dyDescent="0.45">
      <c r="A230" s="958"/>
      <c r="B230" s="973"/>
      <c r="C230" s="974"/>
      <c r="D230" s="891" t="s">
        <v>978</v>
      </c>
      <c r="E230" s="891"/>
      <c r="F230" s="893"/>
      <c r="G230" s="891" t="s">
        <v>1024</v>
      </c>
      <c r="H230" s="891"/>
      <c r="I230" s="891"/>
      <c r="J230" s="222">
        <f>-(J222+J223+J224+J226)</f>
        <v>0</v>
      </c>
      <c r="K230" s="924"/>
      <c r="L230" s="924"/>
    </row>
    <row r="231" spans="1:12" ht="18" customHeight="1" x14ac:dyDescent="0.45">
      <c r="A231" s="958"/>
      <c r="B231" s="973"/>
      <c r="C231" s="974"/>
      <c r="D231" s="891" t="s">
        <v>979</v>
      </c>
      <c r="E231" s="891"/>
      <c r="F231" s="893"/>
      <c r="G231" s="891" t="s">
        <v>1024</v>
      </c>
      <c r="H231" s="891"/>
      <c r="I231" s="891"/>
      <c r="J231" s="222">
        <f>J227-(J222+J223+J224+J226)</f>
        <v>0</v>
      </c>
      <c r="K231" s="924"/>
      <c r="L231" s="924"/>
    </row>
    <row r="232" spans="1:12" ht="18" customHeight="1" x14ac:dyDescent="0.45">
      <c r="A232" s="959"/>
      <c r="B232" s="975"/>
      <c r="C232" s="976"/>
      <c r="D232" s="891" t="s">
        <v>980</v>
      </c>
      <c r="E232" s="891"/>
      <c r="F232" s="893"/>
      <c r="G232" s="891" t="s">
        <v>1024</v>
      </c>
      <c r="H232" s="891"/>
      <c r="I232" s="891"/>
      <c r="J232" s="222">
        <f>-(J222+J223+J224)</f>
        <v>0</v>
      </c>
      <c r="K232" s="924"/>
      <c r="L232" s="924"/>
    </row>
    <row r="233" spans="1:12" ht="18" customHeight="1" x14ac:dyDescent="0.45">
      <c r="A233" s="957" t="s">
        <v>985</v>
      </c>
      <c r="B233" s="891" t="s">
        <v>986</v>
      </c>
      <c r="C233" s="904" t="s">
        <v>1096</v>
      </c>
      <c r="D233" s="919" t="s">
        <v>1097</v>
      </c>
      <c r="E233" s="919"/>
      <c r="F233" s="893"/>
      <c r="G233" s="920" t="s">
        <v>1098</v>
      </c>
      <c r="H233" s="920"/>
      <c r="I233" s="920"/>
      <c r="J233" s="222">
        <f>428*H44^0.889</f>
        <v>0</v>
      </c>
      <c r="K233" s="924"/>
      <c r="L233" s="924"/>
    </row>
    <row r="234" spans="1:12" ht="18" customHeight="1" x14ac:dyDescent="0.45">
      <c r="A234" s="958"/>
      <c r="B234" s="891"/>
      <c r="C234" s="904"/>
      <c r="D234" s="919" t="s">
        <v>1099</v>
      </c>
      <c r="E234" s="919"/>
      <c r="F234" s="893"/>
      <c r="G234" s="920" t="s">
        <v>1100</v>
      </c>
      <c r="H234" s="920"/>
      <c r="I234" s="920"/>
      <c r="J234" s="222">
        <f>359*H45^0.285</f>
        <v>0</v>
      </c>
      <c r="K234" s="924"/>
      <c r="L234" s="924"/>
    </row>
    <row r="235" spans="1:12" ht="18" customHeight="1" x14ac:dyDescent="0.45">
      <c r="A235" s="958"/>
      <c r="B235" s="891"/>
      <c r="C235" s="212" t="s">
        <v>1101</v>
      </c>
      <c r="D235" s="919" t="s">
        <v>1017</v>
      </c>
      <c r="E235" s="919"/>
      <c r="F235" s="893"/>
      <c r="G235" s="920" t="s">
        <v>1102</v>
      </c>
      <c r="H235" s="920"/>
      <c r="I235" s="920"/>
      <c r="J235" s="222">
        <f>5.3*H45</f>
        <v>0</v>
      </c>
      <c r="K235" s="924"/>
      <c r="L235" s="924"/>
    </row>
    <row r="236" spans="1:12" ht="18" customHeight="1" x14ac:dyDescent="0.45">
      <c r="A236" s="958"/>
      <c r="B236" s="891" t="s">
        <v>987</v>
      </c>
      <c r="C236" s="904" t="s">
        <v>1096</v>
      </c>
      <c r="D236" s="919" t="s">
        <v>1097</v>
      </c>
      <c r="E236" s="919"/>
      <c r="F236" s="893"/>
      <c r="G236" s="920" t="s">
        <v>1098</v>
      </c>
      <c r="H236" s="920"/>
      <c r="I236" s="920"/>
      <c r="J236" s="222">
        <f>428*H44^0.889</f>
        <v>0</v>
      </c>
      <c r="K236" s="924"/>
      <c r="L236" s="924"/>
    </row>
    <row r="237" spans="1:12" ht="18" customHeight="1" x14ac:dyDescent="0.45">
      <c r="A237" s="958"/>
      <c r="B237" s="891"/>
      <c r="C237" s="904"/>
      <c r="D237" s="919" t="s">
        <v>1099</v>
      </c>
      <c r="E237" s="919"/>
      <c r="F237" s="893"/>
      <c r="G237" s="920" t="s">
        <v>1100</v>
      </c>
      <c r="H237" s="920"/>
      <c r="I237" s="920"/>
      <c r="J237" s="222">
        <f>359*H45^0.285</f>
        <v>0</v>
      </c>
      <c r="K237" s="924"/>
      <c r="L237" s="924"/>
    </row>
    <row r="238" spans="1:12" ht="18" customHeight="1" x14ac:dyDescent="0.45">
      <c r="A238" s="958"/>
      <c r="B238" s="891"/>
      <c r="C238" s="904"/>
      <c r="D238" s="919" t="s">
        <v>1103</v>
      </c>
      <c r="E238" s="919"/>
      <c r="F238" s="893"/>
      <c r="G238" s="920" t="s">
        <v>1104</v>
      </c>
      <c r="H238" s="920"/>
      <c r="I238" s="920"/>
      <c r="J238" s="222">
        <f>562</f>
        <v>562</v>
      </c>
      <c r="K238" s="924"/>
      <c r="L238" s="924"/>
    </row>
    <row r="239" spans="1:12" ht="18" customHeight="1" x14ac:dyDescent="0.45">
      <c r="A239" s="958"/>
      <c r="B239" s="891"/>
      <c r="C239" s="919" t="s">
        <v>1105</v>
      </c>
      <c r="D239" s="919" t="s">
        <v>1017</v>
      </c>
      <c r="E239" s="919"/>
      <c r="F239" s="893"/>
      <c r="G239" s="920" t="s">
        <v>1106</v>
      </c>
      <c r="H239" s="920"/>
      <c r="I239" s="920"/>
      <c r="J239" s="222">
        <f>5*H45^1.007</f>
        <v>0</v>
      </c>
      <c r="K239" s="924"/>
      <c r="L239" s="924"/>
    </row>
    <row r="240" spans="1:12" ht="18" customHeight="1" x14ac:dyDescent="0.45">
      <c r="A240" s="958"/>
      <c r="B240" s="891"/>
      <c r="C240" s="919"/>
      <c r="D240" s="919" t="s">
        <v>1107</v>
      </c>
      <c r="E240" s="919"/>
      <c r="F240" s="893"/>
      <c r="G240" s="920" t="s">
        <v>1108</v>
      </c>
      <c r="H240" s="920"/>
      <c r="I240" s="920"/>
      <c r="J240" s="222">
        <f>65.8</f>
        <v>65.8</v>
      </c>
      <c r="K240" s="924"/>
      <c r="L240" s="924"/>
    </row>
    <row r="241" spans="1:12" ht="18" customHeight="1" x14ac:dyDescent="0.45">
      <c r="A241" s="958"/>
      <c r="B241" s="904" t="s">
        <v>981</v>
      </c>
      <c r="C241" s="904"/>
      <c r="D241" s="891" t="s">
        <v>986</v>
      </c>
      <c r="E241" s="891"/>
      <c r="F241" s="893"/>
      <c r="G241" s="891" t="s">
        <v>1024</v>
      </c>
      <c r="H241" s="891"/>
      <c r="I241" s="891"/>
      <c r="J241" s="222">
        <f>J235-SUM(J233:J234)</f>
        <v>0</v>
      </c>
      <c r="K241" s="924"/>
      <c r="L241" s="924"/>
    </row>
    <row r="242" spans="1:12" ht="18" customHeight="1" x14ac:dyDescent="0.45">
      <c r="A242" s="958"/>
      <c r="B242" s="904"/>
      <c r="C242" s="904"/>
      <c r="D242" s="891" t="s">
        <v>987</v>
      </c>
      <c r="E242" s="891"/>
      <c r="F242" s="893"/>
      <c r="G242" s="891" t="s">
        <v>1024</v>
      </c>
      <c r="H242" s="891"/>
      <c r="I242" s="891"/>
      <c r="J242" s="222">
        <f>SUM(J239:J240)-SUM(J236:J238)</f>
        <v>-496.2</v>
      </c>
      <c r="K242" s="924"/>
      <c r="L242" s="924"/>
    </row>
    <row r="243" spans="1:12" ht="18" customHeight="1" x14ac:dyDescent="0.45">
      <c r="A243" s="959"/>
      <c r="B243" s="904"/>
      <c r="C243" s="904"/>
      <c r="D243" s="891" t="s">
        <v>988</v>
      </c>
      <c r="E243" s="891"/>
      <c r="F243" s="894"/>
      <c r="G243" s="891" t="s">
        <v>1024</v>
      </c>
      <c r="H243" s="891"/>
      <c r="I243" s="891"/>
      <c r="J243" s="222">
        <f>-J233</f>
        <v>0</v>
      </c>
      <c r="K243" s="924"/>
      <c r="L243" s="924"/>
    </row>
    <row r="244" spans="1:12" ht="18" customHeight="1" x14ac:dyDescent="0.45">
      <c r="K244" s="211"/>
      <c r="L244" s="211"/>
    </row>
    <row r="245" spans="1:12" ht="18" customHeight="1" x14ac:dyDescent="0.45">
      <c r="K245" s="211"/>
      <c r="L245" s="211"/>
    </row>
    <row r="246" spans="1:12" ht="18" customHeight="1" x14ac:dyDescent="0.45">
      <c r="K246" s="211"/>
      <c r="L246" s="211"/>
    </row>
    <row r="247" spans="1:12" ht="18" customHeight="1" x14ac:dyDescent="0.45">
      <c r="A247" s="206" t="s">
        <v>1109</v>
      </c>
      <c r="K247" s="211"/>
      <c r="L247" s="211"/>
    </row>
    <row r="248" spans="1:12" ht="18" customHeight="1" x14ac:dyDescent="0.45">
      <c r="K248" s="211"/>
      <c r="L248" s="211"/>
    </row>
    <row r="249" spans="1:12" ht="18" customHeight="1" x14ac:dyDescent="0.45">
      <c r="A249" s="218" t="s">
        <v>990</v>
      </c>
      <c r="B249" s="883" t="s">
        <v>991</v>
      </c>
      <c r="C249" s="884"/>
      <c r="D249" s="884"/>
      <c r="E249" s="885"/>
      <c r="F249" s="218" t="s">
        <v>992</v>
      </c>
      <c r="G249" s="883" t="s">
        <v>993</v>
      </c>
      <c r="H249" s="884"/>
      <c r="I249" s="885"/>
      <c r="J249" s="209" t="s">
        <v>1110</v>
      </c>
      <c r="K249" s="919" t="s">
        <v>996</v>
      </c>
      <c r="L249" s="919"/>
    </row>
    <row r="250" spans="1:12" ht="18" customHeight="1" x14ac:dyDescent="0.45">
      <c r="A250" s="957" t="s">
        <v>885</v>
      </c>
      <c r="B250" s="891" t="s">
        <v>1111</v>
      </c>
      <c r="C250" s="960" t="s">
        <v>918</v>
      </c>
      <c r="D250" s="883" t="s">
        <v>998</v>
      </c>
      <c r="E250" s="885"/>
      <c r="F250" s="960" t="s">
        <v>984</v>
      </c>
      <c r="G250" s="977" t="s">
        <v>1112</v>
      </c>
      <c r="H250" s="978"/>
      <c r="I250" s="979"/>
      <c r="J250" s="222">
        <f>J222/9.484*1000*$H$57</f>
        <v>0</v>
      </c>
      <c r="K250" s="948"/>
      <c r="L250" s="948"/>
    </row>
    <row r="251" spans="1:12" ht="18" customHeight="1" x14ac:dyDescent="0.45">
      <c r="A251" s="958"/>
      <c r="B251" s="891"/>
      <c r="C251" s="893"/>
      <c r="D251" s="883" t="s">
        <v>1003</v>
      </c>
      <c r="E251" s="885"/>
      <c r="F251" s="893"/>
      <c r="G251" s="980"/>
      <c r="H251" s="981"/>
      <c r="I251" s="982"/>
      <c r="J251" s="222">
        <f>J223/9.484*1000*$H$57</f>
        <v>0</v>
      </c>
      <c r="K251" s="948"/>
      <c r="L251" s="948"/>
    </row>
    <row r="252" spans="1:12" ht="18" customHeight="1" x14ac:dyDescent="0.45">
      <c r="A252" s="958"/>
      <c r="B252" s="891"/>
      <c r="C252" s="893"/>
      <c r="D252" s="883" t="s">
        <v>966</v>
      </c>
      <c r="E252" s="885"/>
      <c r="F252" s="893"/>
      <c r="G252" s="980"/>
      <c r="H252" s="981"/>
      <c r="I252" s="982"/>
      <c r="J252" s="222">
        <f>J224/9.484*1000*$H$57</f>
        <v>0</v>
      </c>
      <c r="K252" s="992"/>
      <c r="L252" s="992"/>
    </row>
    <row r="253" spans="1:12" ht="27" customHeight="1" x14ac:dyDescent="0.45">
      <c r="A253" s="958"/>
      <c r="B253" s="891"/>
      <c r="C253" s="893"/>
      <c r="D253" s="892" t="s">
        <v>1093</v>
      </c>
      <c r="E253" s="223" t="s">
        <v>894</v>
      </c>
      <c r="F253" s="893"/>
      <c r="G253" s="980"/>
      <c r="H253" s="981"/>
      <c r="I253" s="982"/>
      <c r="J253" s="222">
        <f>J225/9.484*1000*$H$57</f>
        <v>0</v>
      </c>
      <c r="K253" s="948"/>
      <c r="L253" s="948"/>
    </row>
    <row r="254" spans="1:12" ht="27" customHeight="1" x14ac:dyDescent="0.45">
      <c r="A254" s="958"/>
      <c r="B254" s="891"/>
      <c r="C254" s="894"/>
      <c r="D254" s="993"/>
      <c r="E254" s="223" t="s">
        <v>896</v>
      </c>
      <c r="F254" s="893"/>
      <c r="G254" s="983"/>
      <c r="H254" s="984"/>
      <c r="I254" s="985"/>
      <c r="J254" s="222">
        <f>J226/9.484*1000*$H$57</f>
        <v>0</v>
      </c>
      <c r="K254" s="948"/>
      <c r="L254" s="948"/>
    </row>
    <row r="255" spans="1:12" ht="18" customHeight="1" x14ac:dyDescent="0.45">
      <c r="A255" s="958"/>
      <c r="B255" s="891"/>
      <c r="C255" s="911" t="s">
        <v>1113</v>
      </c>
      <c r="D255" s="916"/>
      <c r="E255" s="223" t="s">
        <v>894</v>
      </c>
      <c r="F255" s="893"/>
      <c r="G255" s="986" t="s">
        <v>1114</v>
      </c>
      <c r="H255" s="987"/>
      <c r="I255" s="988"/>
      <c r="J255" s="222">
        <f>(H37/100*0.8*0.5*0.3/100+H39/100*0.8*1.2/100)*365*$H$58</f>
        <v>0</v>
      </c>
      <c r="K255" s="948"/>
      <c r="L255" s="948"/>
    </row>
    <row r="256" spans="1:12" ht="18" customHeight="1" x14ac:dyDescent="0.45">
      <c r="A256" s="958"/>
      <c r="B256" s="891"/>
      <c r="C256" s="913"/>
      <c r="D256" s="918"/>
      <c r="E256" s="223" t="s">
        <v>896</v>
      </c>
      <c r="F256" s="893"/>
      <c r="G256" s="989"/>
      <c r="H256" s="990"/>
      <c r="I256" s="991"/>
      <c r="J256" s="222">
        <f>(H37/100*0.8*0.5*0.3/100+H40/100*0.8*1.6/100)*365*$H$58</f>
        <v>0</v>
      </c>
      <c r="K256" s="948"/>
      <c r="L256" s="948"/>
    </row>
    <row r="257" spans="1:12" ht="18" customHeight="1" x14ac:dyDescent="0.45">
      <c r="A257" s="958"/>
      <c r="B257" s="891"/>
      <c r="C257" s="891" t="s">
        <v>944</v>
      </c>
      <c r="D257" s="891"/>
      <c r="E257" s="891"/>
      <c r="F257" s="893"/>
      <c r="G257" s="948" t="s">
        <v>1115</v>
      </c>
      <c r="H257" s="948"/>
      <c r="I257" s="948"/>
      <c r="J257" s="220">
        <f>H38/100*0.8*0.8*500/600000*355*$H$61</f>
        <v>0</v>
      </c>
      <c r="K257" s="948"/>
      <c r="L257" s="948"/>
    </row>
    <row r="258" spans="1:12" ht="18" customHeight="1" x14ac:dyDescent="0.45">
      <c r="A258" s="958"/>
      <c r="B258" s="209" t="s">
        <v>1116</v>
      </c>
      <c r="C258" s="884" t="s">
        <v>1017</v>
      </c>
      <c r="D258" s="884"/>
      <c r="E258" s="885"/>
      <c r="F258" s="893"/>
      <c r="G258" s="948" t="s">
        <v>1117</v>
      </c>
      <c r="H258" s="948"/>
      <c r="I258" s="948"/>
      <c r="J258" s="222">
        <f>J227/9.484*1000*$H$57</f>
        <v>0</v>
      </c>
      <c r="K258" s="948"/>
      <c r="L258" s="948"/>
    </row>
    <row r="259" spans="1:12" ht="18" customHeight="1" x14ac:dyDescent="0.45">
      <c r="A259" s="958"/>
      <c r="B259" s="915" t="s">
        <v>983</v>
      </c>
      <c r="C259" s="972"/>
      <c r="D259" s="891" t="s">
        <v>894</v>
      </c>
      <c r="E259" s="891"/>
      <c r="F259" s="893"/>
      <c r="G259" s="891" t="s">
        <v>1024</v>
      </c>
      <c r="H259" s="891"/>
      <c r="I259" s="891"/>
      <c r="J259" s="222">
        <f>J250+J251+J253+J255</f>
        <v>0</v>
      </c>
      <c r="K259" s="948"/>
      <c r="L259" s="948"/>
    </row>
    <row r="260" spans="1:12" ht="18" customHeight="1" x14ac:dyDescent="0.45">
      <c r="A260" s="958"/>
      <c r="B260" s="973"/>
      <c r="C260" s="974"/>
      <c r="D260" s="891" t="s">
        <v>978</v>
      </c>
      <c r="E260" s="891"/>
      <c r="F260" s="893"/>
      <c r="G260" s="891" t="s">
        <v>1024</v>
      </c>
      <c r="H260" s="891"/>
      <c r="I260" s="891"/>
      <c r="J260" s="222">
        <f>J250+J251+J252+J254+J256</f>
        <v>0</v>
      </c>
      <c r="K260" s="948"/>
      <c r="L260" s="948"/>
    </row>
    <row r="261" spans="1:12" ht="18" customHeight="1" x14ac:dyDescent="0.45">
      <c r="A261" s="958"/>
      <c r="B261" s="973"/>
      <c r="C261" s="974"/>
      <c r="D261" s="891" t="s">
        <v>979</v>
      </c>
      <c r="E261" s="891"/>
      <c r="F261" s="893"/>
      <c r="G261" s="891" t="s">
        <v>1024</v>
      </c>
      <c r="H261" s="891"/>
      <c r="I261" s="891"/>
      <c r="J261" s="222">
        <f>J250+J251+J252+J254+J256-J258</f>
        <v>0</v>
      </c>
      <c r="K261" s="948"/>
      <c r="L261" s="948"/>
    </row>
    <row r="262" spans="1:12" ht="18" customHeight="1" x14ac:dyDescent="0.45">
      <c r="A262" s="959"/>
      <c r="B262" s="975"/>
      <c r="C262" s="976"/>
      <c r="D262" s="891" t="s">
        <v>980</v>
      </c>
      <c r="E262" s="891"/>
      <c r="F262" s="893"/>
      <c r="G262" s="891" t="s">
        <v>1024</v>
      </c>
      <c r="H262" s="891"/>
      <c r="I262" s="891"/>
      <c r="J262" s="222">
        <f>J250+J251+J252+(H37/100*0.8*0.5*0.3/100)*365*$H$58</f>
        <v>0</v>
      </c>
      <c r="K262" s="948" t="s">
        <v>1118</v>
      </c>
      <c r="L262" s="948"/>
    </row>
    <row r="263" spans="1:12" ht="18" customHeight="1" x14ac:dyDescent="0.45">
      <c r="A263" s="957" t="s">
        <v>985</v>
      </c>
      <c r="B263" s="891" t="s">
        <v>986</v>
      </c>
      <c r="C263" s="904" t="s">
        <v>1111</v>
      </c>
      <c r="D263" s="919" t="s">
        <v>918</v>
      </c>
      <c r="E263" s="919"/>
      <c r="F263" s="893"/>
      <c r="G263" s="920" t="s">
        <v>1119</v>
      </c>
      <c r="H263" s="920"/>
      <c r="I263" s="920"/>
      <c r="J263" s="222">
        <f>110.3*H44^0.513*($H$57/0.000488)</f>
        <v>0</v>
      </c>
      <c r="K263" s="948"/>
      <c r="L263" s="948"/>
    </row>
    <row r="264" spans="1:12" ht="18" customHeight="1" x14ac:dyDescent="0.45">
      <c r="A264" s="958"/>
      <c r="B264" s="891"/>
      <c r="C264" s="904"/>
      <c r="D264" s="919" t="s">
        <v>924</v>
      </c>
      <c r="E264" s="919"/>
      <c r="F264" s="893"/>
      <c r="G264" s="920" t="s">
        <v>1120</v>
      </c>
      <c r="H264" s="920"/>
      <c r="I264" s="920"/>
      <c r="J264" s="222">
        <f>27.6*($H$59/0.002)</f>
        <v>27.6</v>
      </c>
      <c r="K264" s="948"/>
      <c r="L264" s="948"/>
    </row>
    <row r="265" spans="1:12" ht="18" customHeight="1" x14ac:dyDescent="0.45">
      <c r="A265" s="958"/>
      <c r="B265" s="891"/>
      <c r="C265" s="904"/>
      <c r="D265" s="919" t="s">
        <v>1113</v>
      </c>
      <c r="E265" s="919"/>
      <c r="F265" s="893"/>
      <c r="G265" s="920" t="s">
        <v>1121</v>
      </c>
      <c r="H265" s="920"/>
      <c r="I265" s="920"/>
      <c r="J265" s="222">
        <f>21.8*H44*($H$58/6.5)</f>
        <v>0</v>
      </c>
      <c r="K265" s="948"/>
      <c r="L265" s="948"/>
    </row>
    <row r="266" spans="1:12" ht="18" customHeight="1" x14ac:dyDescent="0.45">
      <c r="A266" s="958"/>
      <c r="B266" s="891"/>
      <c r="C266" s="904"/>
      <c r="D266" s="919" t="s">
        <v>1122</v>
      </c>
      <c r="E266" s="919"/>
      <c r="F266" s="893"/>
      <c r="G266" s="920" t="s">
        <v>1123</v>
      </c>
      <c r="H266" s="920"/>
      <c r="I266" s="920"/>
      <c r="J266" s="222">
        <f>1.2*H44*($H$60/0.0308)</f>
        <v>0</v>
      </c>
      <c r="K266" s="948"/>
      <c r="L266" s="948"/>
    </row>
    <row r="267" spans="1:12" ht="18" customHeight="1" x14ac:dyDescent="0.45">
      <c r="A267" s="958"/>
      <c r="B267" s="891"/>
      <c r="C267" s="904"/>
      <c r="D267" s="919" t="s">
        <v>944</v>
      </c>
      <c r="E267" s="919"/>
      <c r="F267" s="893"/>
      <c r="G267" s="920" t="s">
        <v>1124</v>
      </c>
      <c r="H267" s="920"/>
      <c r="I267" s="920"/>
      <c r="J267" s="222">
        <f>0.037*H44^1.031*($H$61/0.26)</f>
        <v>0</v>
      </c>
      <c r="K267" s="948"/>
      <c r="L267" s="948"/>
    </row>
    <row r="268" spans="1:12" ht="18" customHeight="1" x14ac:dyDescent="0.45">
      <c r="A268" s="958"/>
      <c r="B268" s="891"/>
      <c r="C268" s="224" t="s">
        <v>1116</v>
      </c>
      <c r="D268" s="919" t="s">
        <v>1017</v>
      </c>
      <c r="E268" s="919"/>
      <c r="F268" s="893"/>
      <c r="G268" s="920" t="s">
        <v>1125</v>
      </c>
      <c r="H268" s="920"/>
      <c r="I268" s="920"/>
      <c r="J268" s="222">
        <f>103.9*H44*($H$57/0.000488)</f>
        <v>0</v>
      </c>
      <c r="K268" s="948"/>
      <c r="L268" s="948"/>
    </row>
    <row r="269" spans="1:12" ht="18" customHeight="1" x14ac:dyDescent="0.45">
      <c r="A269" s="958"/>
      <c r="B269" s="891" t="s">
        <v>987</v>
      </c>
      <c r="C269" s="904" t="s">
        <v>1111</v>
      </c>
      <c r="D269" s="919" t="s">
        <v>918</v>
      </c>
      <c r="E269" s="919"/>
      <c r="F269" s="893"/>
      <c r="G269" s="920" t="s">
        <v>1126</v>
      </c>
      <c r="H269" s="920"/>
      <c r="I269" s="920"/>
      <c r="J269" s="222">
        <f>133.8*H44^0.462*($H$57/0.000488)</f>
        <v>0</v>
      </c>
      <c r="K269" s="948"/>
      <c r="L269" s="948"/>
    </row>
    <row r="270" spans="1:12" ht="18" customHeight="1" x14ac:dyDescent="0.45">
      <c r="A270" s="958"/>
      <c r="B270" s="891"/>
      <c r="C270" s="904"/>
      <c r="D270" s="919" t="s">
        <v>924</v>
      </c>
      <c r="E270" s="919"/>
      <c r="F270" s="893"/>
      <c r="G270" s="920" t="s">
        <v>1120</v>
      </c>
      <c r="H270" s="920"/>
      <c r="I270" s="920"/>
      <c r="J270" s="222">
        <f>27.6*($H$59/0.002)</f>
        <v>27.6</v>
      </c>
      <c r="K270" s="948"/>
      <c r="L270" s="948"/>
    </row>
    <row r="271" spans="1:12" ht="18" customHeight="1" x14ac:dyDescent="0.45">
      <c r="A271" s="958"/>
      <c r="B271" s="891"/>
      <c r="C271" s="904"/>
      <c r="D271" s="919" t="s">
        <v>1113</v>
      </c>
      <c r="E271" s="919"/>
      <c r="F271" s="893"/>
      <c r="G271" s="920" t="s">
        <v>1121</v>
      </c>
      <c r="H271" s="920"/>
      <c r="I271" s="920"/>
      <c r="J271" s="222">
        <f>21.8*H44*($H$58/6.5)</f>
        <v>0</v>
      </c>
      <c r="K271" s="948"/>
      <c r="L271" s="948"/>
    </row>
    <row r="272" spans="1:12" ht="18" customHeight="1" x14ac:dyDescent="0.45">
      <c r="A272" s="958"/>
      <c r="B272" s="891"/>
      <c r="C272" s="904"/>
      <c r="D272" s="919" t="s">
        <v>1122</v>
      </c>
      <c r="E272" s="919"/>
      <c r="F272" s="893"/>
      <c r="G272" s="920" t="s">
        <v>1123</v>
      </c>
      <c r="H272" s="920"/>
      <c r="I272" s="920"/>
      <c r="J272" s="222">
        <f>1.2*H44*($H$60/0.0308)</f>
        <v>0</v>
      </c>
      <c r="K272" s="948"/>
      <c r="L272" s="948"/>
    </row>
    <row r="273" spans="1:12" ht="18" customHeight="1" x14ac:dyDescent="0.45">
      <c r="A273" s="958"/>
      <c r="B273" s="891"/>
      <c r="C273" s="904"/>
      <c r="D273" s="919" t="s">
        <v>944</v>
      </c>
      <c r="E273" s="919"/>
      <c r="F273" s="893"/>
      <c r="G273" s="920" t="s">
        <v>1124</v>
      </c>
      <c r="H273" s="920"/>
      <c r="I273" s="920"/>
      <c r="J273" s="222">
        <f>0.037*H44^1.031*($H$61/0.26)</f>
        <v>0</v>
      </c>
      <c r="K273" s="948"/>
      <c r="L273" s="948"/>
    </row>
    <row r="274" spans="1:12" ht="18" customHeight="1" x14ac:dyDescent="0.45">
      <c r="A274" s="958"/>
      <c r="B274" s="891"/>
      <c r="C274" s="904" t="s">
        <v>1127</v>
      </c>
      <c r="D274" s="919" t="s">
        <v>1107</v>
      </c>
      <c r="E274" s="919"/>
      <c r="F274" s="893"/>
      <c r="G274" s="920" t="s">
        <v>1128</v>
      </c>
      <c r="H274" s="920"/>
      <c r="I274" s="920"/>
      <c r="J274" s="222">
        <f>4.5*($H$62/2.32)</f>
        <v>4.5</v>
      </c>
      <c r="K274" s="948"/>
      <c r="L274" s="948"/>
    </row>
    <row r="275" spans="1:12" ht="18" customHeight="1" x14ac:dyDescent="0.45">
      <c r="A275" s="958"/>
      <c r="B275" s="891"/>
      <c r="C275" s="904"/>
      <c r="D275" s="904" t="s">
        <v>1017</v>
      </c>
      <c r="E275" s="904"/>
      <c r="F275" s="893"/>
      <c r="G275" s="920" t="s">
        <v>1129</v>
      </c>
      <c r="H275" s="920"/>
      <c r="I275" s="920"/>
      <c r="J275" s="222">
        <f>101.9*H44^1.007*($H$57/0.000488)</f>
        <v>0</v>
      </c>
      <c r="K275" s="948"/>
      <c r="L275" s="948"/>
    </row>
    <row r="276" spans="1:12" ht="18" customHeight="1" x14ac:dyDescent="0.45">
      <c r="A276" s="958"/>
      <c r="B276" s="915" t="s">
        <v>983</v>
      </c>
      <c r="C276" s="972"/>
      <c r="D276" s="891" t="s">
        <v>986</v>
      </c>
      <c r="E276" s="891"/>
      <c r="F276" s="893"/>
      <c r="G276" s="891" t="s">
        <v>1024</v>
      </c>
      <c r="H276" s="891"/>
      <c r="I276" s="891"/>
      <c r="J276" s="222">
        <f>SUM(J263:J267)-J268</f>
        <v>27.6</v>
      </c>
      <c r="K276" s="948"/>
      <c r="L276" s="948"/>
    </row>
    <row r="277" spans="1:12" ht="18" customHeight="1" x14ac:dyDescent="0.45">
      <c r="A277" s="958"/>
      <c r="B277" s="973"/>
      <c r="C277" s="974"/>
      <c r="D277" s="891" t="s">
        <v>987</v>
      </c>
      <c r="E277" s="891"/>
      <c r="F277" s="893"/>
      <c r="G277" s="891" t="s">
        <v>1024</v>
      </c>
      <c r="H277" s="891"/>
      <c r="I277" s="891"/>
      <c r="J277" s="222">
        <f>SUM(J269:J273)-SUM(J274:J275)</f>
        <v>23.1</v>
      </c>
      <c r="K277" s="948"/>
      <c r="L277" s="948"/>
    </row>
    <row r="278" spans="1:12" ht="18" customHeight="1" x14ac:dyDescent="0.45">
      <c r="A278" s="959"/>
      <c r="B278" s="975"/>
      <c r="C278" s="976"/>
      <c r="D278" s="891" t="s">
        <v>988</v>
      </c>
      <c r="E278" s="891"/>
      <c r="F278" s="894"/>
      <c r="G278" s="891" t="s">
        <v>1024</v>
      </c>
      <c r="H278" s="891"/>
      <c r="I278" s="891"/>
      <c r="J278" s="225">
        <f>-J243/9.484*1000*$H$57+(H37/100*0.8*0.35/100)*365*$H$58</f>
        <v>0</v>
      </c>
      <c r="K278" s="948" t="s">
        <v>1130</v>
      </c>
      <c r="L278" s="948"/>
    </row>
  </sheetData>
  <mergeCells count="538">
    <mergeCell ref="B276:C278"/>
    <mergeCell ref="D276:E276"/>
    <mergeCell ref="G276:I276"/>
    <mergeCell ref="K276:L276"/>
    <mergeCell ref="D277:E277"/>
    <mergeCell ref="G277:I277"/>
    <mergeCell ref="K277:L277"/>
    <mergeCell ref="D278:E278"/>
    <mergeCell ref="G278:I278"/>
    <mergeCell ref="K278:L278"/>
    <mergeCell ref="D273:E273"/>
    <mergeCell ref="G273:I273"/>
    <mergeCell ref="K273:L273"/>
    <mergeCell ref="C274:C275"/>
    <mergeCell ref="D274:E274"/>
    <mergeCell ref="G274:I274"/>
    <mergeCell ref="K274:L274"/>
    <mergeCell ref="D275:E275"/>
    <mergeCell ref="G275:I275"/>
    <mergeCell ref="K275:L275"/>
    <mergeCell ref="K267:L267"/>
    <mergeCell ref="K270:L270"/>
    <mergeCell ref="D271:E271"/>
    <mergeCell ref="G271:I271"/>
    <mergeCell ref="K271:L271"/>
    <mergeCell ref="D272:E272"/>
    <mergeCell ref="G272:I272"/>
    <mergeCell ref="K272:L272"/>
    <mergeCell ref="D268:E268"/>
    <mergeCell ref="G268:I268"/>
    <mergeCell ref="K268:L268"/>
    <mergeCell ref="A263:A278"/>
    <mergeCell ref="B263:B268"/>
    <mergeCell ref="C263:C267"/>
    <mergeCell ref="D263:E263"/>
    <mergeCell ref="G263:I263"/>
    <mergeCell ref="K263:L263"/>
    <mergeCell ref="D264:E264"/>
    <mergeCell ref="G264:I264"/>
    <mergeCell ref="K264:L264"/>
    <mergeCell ref="D265:E265"/>
    <mergeCell ref="B269:B275"/>
    <mergeCell ref="C269:C273"/>
    <mergeCell ref="D269:E269"/>
    <mergeCell ref="G269:I269"/>
    <mergeCell ref="K269:L269"/>
    <mergeCell ref="D270:E270"/>
    <mergeCell ref="G270:I270"/>
    <mergeCell ref="G265:I265"/>
    <mergeCell ref="K265:L265"/>
    <mergeCell ref="D266:E266"/>
    <mergeCell ref="G266:I266"/>
    <mergeCell ref="K266:L266"/>
    <mergeCell ref="D267:E267"/>
    <mergeCell ref="G267:I267"/>
    <mergeCell ref="D261:E261"/>
    <mergeCell ref="G261:I261"/>
    <mergeCell ref="K261:L261"/>
    <mergeCell ref="D262:E262"/>
    <mergeCell ref="G262:I262"/>
    <mergeCell ref="K262:L262"/>
    <mergeCell ref="C258:E258"/>
    <mergeCell ref="G258:I258"/>
    <mergeCell ref="K258:L258"/>
    <mergeCell ref="B259:C262"/>
    <mergeCell ref="D259:E259"/>
    <mergeCell ref="G259:I259"/>
    <mergeCell ref="K259:L259"/>
    <mergeCell ref="D260:E260"/>
    <mergeCell ref="G260:I260"/>
    <mergeCell ref="K260:L260"/>
    <mergeCell ref="B249:E249"/>
    <mergeCell ref="G249:I249"/>
    <mergeCell ref="K249:L249"/>
    <mergeCell ref="A250:A262"/>
    <mergeCell ref="B250:B257"/>
    <mergeCell ref="C250:C254"/>
    <mergeCell ref="D250:E250"/>
    <mergeCell ref="F250:F278"/>
    <mergeCell ref="G250:I254"/>
    <mergeCell ref="K250:L250"/>
    <mergeCell ref="C255:D256"/>
    <mergeCell ref="G255:I256"/>
    <mergeCell ref="K255:L255"/>
    <mergeCell ref="K256:L256"/>
    <mergeCell ref="C257:E257"/>
    <mergeCell ref="G257:I257"/>
    <mergeCell ref="K257:L257"/>
    <mergeCell ref="D251:E251"/>
    <mergeCell ref="K251:L251"/>
    <mergeCell ref="D252:E252"/>
    <mergeCell ref="K252:L252"/>
    <mergeCell ref="D253:D254"/>
    <mergeCell ref="K253:L253"/>
    <mergeCell ref="K254:L254"/>
    <mergeCell ref="D239:E239"/>
    <mergeCell ref="G239:I239"/>
    <mergeCell ref="K239:L239"/>
    <mergeCell ref="D240:E240"/>
    <mergeCell ref="G240:I240"/>
    <mergeCell ref="K240:L240"/>
    <mergeCell ref="B241:C243"/>
    <mergeCell ref="D241:E241"/>
    <mergeCell ref="G241:I241"/>
    <mergeCell ref="K241:L241"/>
    <mergeCell ref="D242:E242"/>
    <mergeCell ref="G242:I242"/>
    <mergeCell ref="K242:L242"/>
    <mergeCell ref="D243:E243"/>
    <mergeCell ref="G243:I243"/>
    <mergeCell ref="K243:L243"/>
    <mergeCell ref="A233:A243"/>
    <mergeCell ref="B233:B235"/>
    <mergeCell ref="C233:C234"/>
    <mergeCell ref="D233:E233"/>
    <mergeCell ref="G233:I233"/>
    <mergeCell ref="K233:L233"/>
    <mergeCell ref="D234:E234"/>
    <mergeCell ref="G234:I234"/>
    <mergeCell ref="K234:L234"/>
    <mergeCell ref="D235:E235"/>
    <mergeCell ref="G235:I235"/>
    <mergeCell ref="K235:L235"/>
    <mergeCell ref="B236:B240"/>
    <mergeCell ref="C236:C238"/>
    <mergeCell ref="D236:E236"/>
    <mergeCell ref="G236:I236"/>
    <mergeCell ref="K236:L236"/>
    <mergeCell ref="D237:E237"/>
    <mergeCell ref="G237:I237"/>
    <mergeCell ref="K237:L237"/>
    <mergeCell ref="D238:E238"/>
    <mergeCell ref="G238:I238"/>
    <mergeCell ref="K238:L238"/>
    <mergeCell ref="C239:C240"/>
    <mergeCell ref="B227:E228"/>
    <mergeCell ref="G227:I228"/>
    <mergeCell ref="J227:J228"/>
    <mergeCell ref="K227:L228"/>
    <mergeCell ref="B229:C232"/>
    <mergeCell ref="D229:E229"/>
    <mergeCell ref="G229:I229"/>
    <mergeCell ref="K229:L229"/>
    <mergeCell ref="D230:E230"/>
    <mergeCell ref="G230:I230"/>
    <mergeCell ref="K224:L224"/>
    <mergeCell ref="B225:C226"/>
    <mergeCell ref="D225:E225"/>
    <mergeCell ref="G225:I226"/>
    <mergeCell ref="K225:L225"/>
    <mergeCell ref="D226:E226"/>
    <mergeCell ref="K226:L226"/>
    <mergeCell ref="A222:A232"/>
    <mergeCell ref="B222:C223"/>
    <mergeCell ref="D222:E222"/>
    <mergeCell ref="F222:F243"/>
    <mergeCell ref="G222:I222"/>
    <mergeCell ref="K222:L223"/>
    <mergeCell ref="D223:E223"/>
    <mergeCell ref="G223:I223"/>
    <mergeCell ref="B224:E224"/>
    <mergeCell ref="G224:I224"/>
    <mergeCell ref="K230:L230"/>
    <mergeCell ref="D231:E231"/>
    <mergeCell ref="G231:I231"/>
    <mergeCell ref="K231:L231"/>
    <mergeCell ref="D232:E232"/>
    <mergeCell ref="G232:I232"/>
    <mergeCell ref="K232:L232"/>
    <mergeCell ref="D215:E215"/>
    <mergeCell ref="G215:I215"/>
    <mergeCell ref="K215:L215"/>
    <mergeCell ref="B221:E221"/>
    <mergeCell ref="G221:I221"/>
    <mergeCell ref="K221:L221"/>
    <mergeCell ref="K211:L211"/>
    <mergeCell ref="G212:I212"/>
    <mergeCell ref="K212:L212"/>
    <mergeCell ref="B213:C215"/>
    <mergeCell ref="D213:E213"/>
    <mergeCell ref="G213:I213"/>
    <mergeCell ref="K213:L213"/>
    <mergeCell ref="D214:E214"/>
    <mergeCell ref="G214:I214"/>
    <mergeCell ref="K214:L214"/>
    <mergeCell ref="B208:B212"/>
    <mergeCell ref="C208:D209"/>
    <mergeCell ref="G208:I208"/>
    <mergeCell ref="K208:L208"/>
    <mergeCell ref="G209:I209"/>
    <mergeCell ref="K209:L209"/>
    <mergeCell ref="C210:D212"/>
    <mergeCell ref="G210:I210"/>
    <mergeCell ref="G197:I197"/>
    <mergeCell ref="K197:L197"/>
    <mergeCell ref="K210:L210"/>
    <mergeCell ref="G211:I211"/>
    <mergeCell ref="B206:B207"/>
    <mergeCell ref="C206:D207"/>
    <mergeCell ref="G206:I206"/>
    <mergeCell ref="K206:L206"/>
    <mergeCell ref="G207:I207"/>
    <mergeCell ref="K207:L207"/>
    <mergeCell ref="C203:D205"/>
    <mergeCell ref="G203:I203"/>
    <mergeCell ref="K203:L203"/>
    <mergeCell ref="G204:I204"/>
    <mergeCell ref="K204:L204"/>
    <mergeCell ref="G205:I205"/>
    <mergeCell ref="K205:L205"/>
    <mergeCell ref="A198:A215"/>
    <mergeCell ref="B198:B205"/>
    <mergeCell ref="C198:D202"/>
    <mergeCell ref="G198:I198"/>
    <mergeCell ref="K198:L198"/>
    <mergeCell ref="G199:I199"/>
    <mergeCell ref="K199:L199"/>
    <mergeCell ref="B194:C197"/>
    <mergeCell ref="D194:E194"/>
    <mergeCell ref="G194:I194"/>
    <mergeCell ref="K194:L194"/>
    <mergeCell ref="D195:E195"/>
    <mergeCell ref="G195:I195"/>
    <mergeCell ref="K195:L195"/>
    <mergeCell ref="D196:E196"/>
    <mergeCell ref="G196:I196"/>
    <mergeCell ref="K196:L196"/>
    <mergeCell ref="G200:I200"/>
    <mergeCell ref="K200:L200"/>
    <mergeCell ref="G201:I201"/>
    <mergeCell ref="K201:L201"/>
    <mergeCell ref="G202:I202"/>
    <mergeCell ref="K202:L202"/>
    <mergeCell ref="D197:E197"/>
    <mergeCell ref="B185:E185"/>
    <mergeCell ref="G185:I185"/>
    <mergeCell ref="K185:L186"/>
    <mergeCell ref="B186:E186"/>
    <mergeCell ref="G186:I186"/>
    <mergeCell ref="B187:E188"/>
    <mergeCell ref="G187:I190"/>
    <mergeCell ref="J187:J188"/>
    <mergeCell ref="K187:L190"/>
    <mergeCell ref="B189:E190"/>
    <mergeCell ref="G182:I182"/>
    <mergeCell ref="C183:E183"/>
    <mergeCell ref="G183:I183"/>
    <mergeCell ref="K183:L184"/>
    <mergeCell ref="C184:E184"/>
    <mergeCell ref="G184:I184"/>
    <mergeCell ref="A180:A197"/>
    <mergeCell ref="B180:B181"/>
    <mergeCell ref="C180:E180"/>
    <mergeCell ref="F180:F215"/>
    <mergeCell ref="G180:I180"/>
    <mergeCell ref="K180:L182"/>
    <mergeCell ref="C181:E181"/>
    <mergeCell ref="G181:I181"/>
    <mergeCell ref="B182:B184"/>
    <mergeCell ref="C182:E182"/>
    <mergeCell ref="J189:J190"/>
    <mergeCell ref="B191:E191"/>
    <mergeCell ref="G191:I191"/>
    <mergeCell ref="K191:L191"/>
    <mergeCell ref="B192:E193"/>
    <mergeCell ref="G192:I193"/>
    <mergeCell ref="J192:J193"/>
    <mergeCell ref="K192:L193"/>
    <mergeCell ref="D174:E174"/>
    <mergeCell ref="G174:I174"/>
    <mergeCell ref="L174:M174"/>
    <mergeCell ref="B179:E179"/>
    <mergeCell ref="G179:I179"/>
    <mergeCell ref="K179:L179"/>
    <mergeCell ref="G171:I171"/>
    <mergeCell ref="L171:M171"/>
    <mergeCell ref="C172:C174"/>
    <mergeCell ref="D172:E172"/>
    <mergeCell ref="F172:F174"/>
    <mergeCell ref="G172:I172"/>
    <mergeCell ref="L172:M172"/>
    <mergeCell ref="D173:E173"/>
    <mergeCell ref="G173:I173"/>
    <mergeCell ref="L173:M173"/>
    <mergeCell ref="B169:B174"/>
    <mergeCell ref="C169:C171"/>
    <mergeCell ref="D169:E169"/>
    <mergeCell ref="F169:F171"/>
    <mergeCell ref="G169:I169"/>
    <mergeCell ref="L169:M169"/>
    <mergeCell ref="D170:E170"/>
    <mergeCell ref="G170:I170"/>
    <mergeCell ref="L170:M170"/>
    <mergeCell ref="D171:E171"/>
    <mergeCell ref="B167:C168"/>
    <mergeCell ref="D167:E167"/>
    <mergeCell ref="G167:I167"/>
    <mergeCell ref="L167:M167"/>
    <mergeCell ref="D168:E168"/>
    <mergeCell ref="G168:I168"/>
    <mergeCell ref="L168:M168"/>
    <mergeCell ref="D164:E164"/>
    <mergeCell ref="G164:I164"/>
    <mergeCell ref="L164:M164"/>
    <mergeCell ref="B165:C166"/>
    <mergeCell ref="D165:E165"/>
    <mergeCell ref="G165:I165"/>
    <mergeCell ref="L165:M165"/>
    <mergeCell ref="D166:E166"/>
    <mergeCell ref="G166:I166"/>
    <mergeCell ref="L166:M166"/>
    <mergeCell ref="G158:I158"/>
    <mergeCell ref="L158:M158"/>
    <mergeCell ref="D154:E154"/>
    <mergeCell ref="G154:I154"/>
    <mergeCell ref="L154:M154"/>
    <mergeCell ref="A159:A174"/>
    <mergeCell ref="B159:C162"/>
    <mergeCell ref="D159:E159"/>
    <mergeCell ref="F159:F168"/>
    <mergeCell ref="G159:I159"/>
    <mergeCell ref="L159:M159"/>
    <mergeCell ref="D160:E160"/>
    <mergeCell ref="G160:I160"/>
    <mergeCell ref="L160:M160"/>
    <mergeCell ref="D161:E161"/>
    <mergeCell ref="G161:I161"/>
    <mergeCell ref="L161:M161"/>
    <mergeCell ref="D162:E162"/>
    <mergeCell ref="G162:I162"/>
    <mergeCell ref="L162:M162"/>
    <mergeCell ref="B163:C164"/>
    <mergeCell ref="D163:E163"/>
    <mergeCell ref="G163:I163"/>
    <mergeCell ref="L163:M163"/>
    <mergeCell ref="B151:B158"/>
    <mergeCell ref="C151:C154"/>
    <mergeCell ref="D151:E151"/>
    <mergeCell ref="F151:F154"/>
    <mergeCell ref="G151:I151"/>
    <mergeCell ref="L151:M151"/>
    <mergeCell ref="C155:C158"/>
    <mergeCell ref="D155:E155"/>
    <mergeCell ref="F155:F158"/>
    <mergeCell ref="G155:I155"/>
    <mergeCell ref="L155:M155"/>
    <mergeCell ref="D156:E156"/>
    <mergeCell ref="G156:I156"/>
    <mergeCell ref="D152:E152"/>
    <mergeCell ref="G152:I152"/>
    <mergeCell ref="L152:M152"/>
    <mergeCell ref="D153:E153"/>
    <mergeCell ref="G153:I153"/>
    <mergeCell ref="L153:M153"/>
    <mergeCell ref="L156:M156"/>
    <mergeCell ref="D157:E157"/>
    <mergeCell ref="G157:I157"/>
    <mergeCell ref="L157:M157"/>
    <mergeCell ref="D158:E158"/>
    <mergeCell ref="L145:M148"/>
    <mergeCell ref="G146:I146"/>
    <mergeCell ref="B147:D148"/>
    <mergeCell ref="G147:I147"/>
    <mergeCell ref="G148:I148"/>
    <mergeCell ref="B149:D150"/>
    <mergeCell ref="G149:I149"/>
    <mergeCell ref="L149:M150"/>
    <mergeCell ref="G150:I150"/>
    <mergeCell ref="B136:E136"/>
    <mergeCell ref="G136:I136"/>
    <mergeCell ref="L136:M136"/>
    <mergeCell ref="A137:A158"/>
    <mergeCell ref="B137:B140"/>
    <mergeCell ref="C137:D138"/>
    <mergeCell ref="F137:F150"/>
    <mergeCell ref="G137:I137"/>
    <mergeCell ref="L137:M142"/>
    <mergeCell ref="G138:I138"/>
    <mergeCell ref="C139:D140"/>
    <mergeCell ref="G139:I139"/>
    <mergeCell ref="G140:I140"/>
    <mergeCell ref="B141:B144"/>
    <mergeCell ref="C141:D142"/>
    <mergeCell ref="G141:I141"/>
    <mergeCell ref="G142:I142"/>
    <mergeCell ref="C143:D143"/>
    <mergeCell ref="G143:I143"/>
    <mergeCell ref="L143:M144"/>
    <mergeCell ref="C144:D144"/>
    <mergeCell ref="G144:I144"/>
    <mergeCell ref="B145:D146"/>
    <mergeCell ref="G145:I145"/>
    <mergeCell ref="A110:A121"/>
    <mergeCell ref="B128:C130"/>
    <mergeCell ref="D128:E128"/>
    <mergeCell ref="F128:F130"/>
    <mergeCell ref="G128:H128"/>
    <mergeCell ref="D129:E129"/>
    <mergeCell ref="G129:H129"/>
    <mergeCell ref="D130:E130"/>
    <mergeCell ref="G130:H130"/>
    <mergeCell ref="B125:C127"/>
    <mergeCell ref="D125:E125"/>
    <mergeCell ref="F125:F127"/>
    <mergeCell ref="G125:H125"/>
    <mergeCell ref="D126:E126"/>
    <mergeCell ref="G126:H126"/>
    <mergeCell ref="D127:E127"/>
    <mergeCell ref="G127:H127"/>
    <mergeCell ref="A122:A130"/>
    <mergeCell ref="B122:C124"/>
    <mergeCell ref="D122:E122"/>
    <mergeCell ref="F122:F124"/>
    <mergeCell ref="G122:H122"/>
    <mergeCell ref="D123:E123"/>
    <mergeCell ref="G123:H123"/>
    <mergeCell ref="D124:E124"/>
    <mergeCell ref="G124:H124"/>
    <mergeCell ref="B118:C121"/>
    <mergeCell ref="D118:E118"/>
    <mergeCell ref="F118:F121"/>
    <mergeCell ref="G118:H118"/>
    <mergeCell ref="D119:E119"/>
    <mergeCell ref="G119:H119"/>
    <mergeCell ref="D120:E120"/>
    <mergeCell ref="G120:H120"/>
    <mergeCell ref="D121:E121"/>
    <mergeCell ref="G121:H121"/>
    <mergeCell ref="G113:H113"/>
    <mergeCell ref="B114:C117"/>
    <mergeCell ref="D114:E114"/>
    <mergeCell ref="F114:F117"/>
    <mergeCell ref="G114:H114"/>
    <mergeCell ref="D115:E115"/>
    <mergeCell ref="G115:H115"/>
    <mergeCell ref="D116:E116"/>
    <mergeCell ref="G116:H116"/>
    <mergeCell ref="D117:E117"/>
    <mergeCell ref="B110:C113"/>
    <mergeCell ref="D110:E110"/>
    <mergeCell ref="F110:F113"/>
    <mergeCell ref="G110:H110"/>
    <mergeCell ref="D111:E111"/>
    <mergeCell ref="G111:H111"/>
    <mergeCell ref="D112:E112"/>
    <mergeCell ref="G112:H112"/>
    <mergeCell ref="D113:E113"/>
    <mergeCell ref="G117:H117"/>
    <mergeCell ref="J72:J76"/>
    <mergeCell ref="H73:I73"/>
    <mergeCell ref="H74:I74"/>
    <mergeCell ref="C75:C76"/>
    <mergeCell ref="H75:I75"/>
    <mergeCell ref="H76:I76"/>
    <mergeCell ref="B71:F71"/>
    <mergeCell ref="H71:I71"/>
    <mergeCell ref="B72:B76"/>
    <mergeCell ref="C72:C74"/>
    <mergeCell ref="G72:G76"/>
    <mergeCell ref="H72:I72"/>
    <mergeCell ref="B65:F65"/>
    <mergeCell ref="H65:J65"/>
    <mergeCell ref="B66:F66"/>
    <mergeCell ref="J66:J68"/>
    <mergeCell ref="B67:F67"/>
    <mergeCell ref="B68:F68"/>
    <mergeCell ref="B61:F61"/>
    <mergeCell ref="H61:I61"/>
    <mergeCell ref="K61:L61"/>
    <mergeCell ref="B62:F62"/>
    <mergeCell ref="H62:I62"/>
    <mergeCell ref="K62:L62"/>
    <mergeCell ref="B59:F59"/>
    <mergeCell ref="H59:I59"/>
    <mergeCell ref="K59:L59"/>
    <mergeCell ref="B60:F60"/>
    <mergeCell ref="H60:I60"/>
    <mergeCell ref="K60:L60"/>
    <mergeCell ref="B57:F57"/>
    <mergeCell ref="H57:I57"/>
    <mergeCell ref="K57:L57"/>
    <mergeCell ref="B58:F58"/>
    <mergeCell ref="H58:I58"/>
    <mergeCell ref="K58:L58"/>
    <mergeCell ref="B53:F53"/>
    <mergeCell ref="H53:I53"/>
    <mergeCell ref="K53:L53"/>
    <mergeCell ref="B54:F54"/>
    <mergeCell ref="H54:I54"/>
    <mergeCell ref="K54:L54"/>
    <mergeCell ref="B51:F51"/>
    <mergeCell ref="H51:I51"/>
    <mergeCell ref="K51:L51"/>
    <mergeCell ref="B52:F52"/>
    <mergeCell ref="H52:I52"/>
    <mergeCell ref="K52:L52"/>
    <mergeCell ref="K41:L41"/>
    <mergeCell ref="B48:F48"/>
    <mergeCell ref="B49:F49"/>
    <mergeCell ref="H49:I49"/>
    <mergeCell ref="K49:L49"/>
    <mergeCell ref="B50:F50"/>
    <mergeCell ref="H50:I50"/>
    <mergeCell ref="K50:L50"/>
    <mergeCell ref="A44:A46"/>
    <mergeCell ref="B44:F44"/>
    <mergeCell ref="H44:I44"/>
    <mergeCell ref="K44:L44"/>
    <mergeCell ref="B45:F45"/>
    <mergeCell ref="H45:I45"/>
    <mergeCell ref="K45:L45"/>
    <mergeCell ref="B46:F46"/>
    <mergeCell ref="H46:I46"/>
    <mergeCell ref="K46:L46"/>
    <mergeCell ref="B12:C12"/>
    <mergeCell ref="A37:A43"/>
    <mergeCell ref="B37:F37"/>
    <mergeCell ref="H37:I37"/>
    <mergeCell ref="K37:L37"/>
    <mergeCell ref="N37:N63"/>
    <mergeCell ref="B38:F38"/>
    <mergeCell ref="H38:I38"/>
    <mergeCell ref="K38:L38"/>
    <mergeCell ref="B39:C40"/>
    <mergeCell ref="D39:F39"/>
    <mergeCell ref="B42:F42"/>
    <mergeCell ref="H42:I42"/>
    <mergeCell ref="K42:L42"/>
    <mergeCell ref="B43:F43"/>
    <mergeCell ref="H43:I43"/>
    <mergeCell ref="K43:L43"/>
    <mergeCell ref="H39:I39"/>
    <mergeCell ref="K39:L39"/>
    <mergeCell ref="D40:F40"/>
    <mergeCell ref="H40:I40"/>
    <mergeCell ref="K40:L40"/>
    <mergeCell ref="B41:F41"/>
    <mergeCell ref="H41:I41"/>
  </mergeCells>
  <phoneticPr fontId="2"/>
  <hyperlinks>
    <hyperlink ref="L2" location="汚泥処理対策シート!A1" display="クリックで対策シートに戻る" xr:uid="{E7EA21A0-08E5-48AA-B090-6B17C5B75098}"/>
  </hyperlinks>
  <pageMargins left="0.7" right="0.7" top="0.75" bottom="0.75" header="0.3" footer="0.3"/>
  <pageSetup paperSize="8" scale="92" fitToHeight="0" orientation="landscape" r:id="rId1"/>
  <rowBreaks count="6" manualBreakCount="6">
    <brk id="77" max="16383" man="1"/>
    <brk id="106" max="16383" man="1"/>
    <brk id="132" max="16383" man="1"/>
    <brk id="175" max="16383" man="1"/>
    <brk id="217" max="16383" man="1"/>
    <brk id="245" max="16383"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315D5-CD65-4D3D-8C70-B55569CC21EA}">
  <sheetPr>
    <tabColor rgb="FFFFC000"/>
  </sheetPr>
  <dimension ref="B2:N27"/>
  <sheetViews>
    <sheetView zoomScale="80" zoomScaleNormal="80" workbookViewId="0"/>
  </sheetViews>
  <sheetFormatPr defaultColWidth="9" defaultRowHeight="18" x14ac:dyDescent="0.45"/>
  <cols>
    <col min="1" max="1" width="9" style="29"/>
    <col min="2" max="2" width="34.5" style="29" bestFit="1" customWidth="1"/>
    <col min="3" max="3" width="10.8984375" style="29" customWidth="1"/>
    <col min="4" max="16384" width="9" style="29"/>
  </cols>
  <sheetData>
    <row r="2" spans="2:14" ht="22.2" x14ac:dyDescent="0.45">
      <c r="B2" s="28" t="s">
        <v>1296</v>
      </c>
      <c r="M2" s="242" t="s">
        <v>1151</v>
      </c>
    </row>
    <row r="3" spans="2:14" x14ac:dyDescent="0.45">
      <c r="B3" s="32" t="s">
        <v>94</v>
      </c>
      <c r="C3" s="33"/>
      <c r="D3" s="33"/>
      <c r="E3" s="33"/>
      <c r="G3" s="18"/>
      <c r="H3" t="s">
        <v>79</v>
      </c>
    </row>
    <row r="4" spans="2:14" x14ac:dyDescent="0.45">
      <c r="B4" s="309" t="s">
        <v>97</v>
      </c>
      <c r="C4" s="310"/>
      <c r="D4" s="310"/>
      <c r="E4" s="310"/>
      <c r="G4" s="7"/>
      <c r="H4" t="s">
        <v>80</v>
      </c>
    </row>
    <row r="5" spans="2:14" x14ac:dyDescent="0.45">
      <c r="G5" s="378"/>
      <c r="H5" t="s">
        <v>1401</v>
      </c>
    </row>
    <row r="6" spans="2:14" x14ac:dyDescent="0.45">
      <c r="G6" s="11"/>
      <c r="H6" t="s">
        <v>81</v>
      </c>
    </row>
    <row r="8" spans="2:14" x14ac:dyDescent="0.45">
      <c r="B8" s="994" t="s">
        <v>1496</v>
      </c>
      <c r="C8" s="994"/>
      <c r="D8" s="346"/>
    </row>
    <row r="9" spans="2:14" x14ac:dyDescent="0.45">
      <c r="B9" s="994" t="s">
        <v>1297</v>
      </c>
      <c r="C9" s="994"/>
      <c r="D9" s="7">
        <f>D8*0.73</f>
        <v>0</v>
      </c>
      <c r="E9" s="4" t="s">
        <v>1517</v>
      </c>
    </row>
    <row r="10" spans="2:14" ht="19.8" x14ac:dyDescent="0.45">
      <c r="B10" s="995" t="s">
        <v>1298</v>
      </c>
      <c r="C10" s="995"/>
      <c r="D10" s="346"/>
      <c r="E10" s="4" t="s">
        <v>1495</v>
      </c>
    </row>
    <row r="11" spans="2:14" x14ac:dyDescent="0.45">
      <c r="B11" s="996" t="s">
        <v>1299</v>
      </c>
      <c r="C11" s="996"/>
      <c r="D11" s="348">
        <f>+ROUNDDOWN(D9*D10/1000,-1)</f>
        <v>0</v>
      </c>
    </row>
    <row r="13" spans="2:14" x14ac:dyDescent="0.45">
      <c r="B13" s="347" t="s">
        <v>1300</v>
      </c>
      <c r="C13" s="347" t="s">
        <v>1301</v>
      </c>
      <c r="D13" s="347" t="s">
        <v>1302</v>
      </c>
      <c r="E13" s="347" t="s">
        <v>1303</v>
      </c>
      <c r="F13" s="347" t="s">
        <v>1304</v>
      </c>
      <c r="G13" s="347" t="s">
        <v>1305</v>
      </c>
      <c r="H13" s="347" t="s">
        <v>1306</v>
      </c>
      <c r="I13" s="347" t="s">
        <v>1307</v>
      </c>
      <c r="J13" s="347" t="s">
        <v>1308</v>
      </c>
      <c r="K13" s="347" t="s">
        <v>1309</v>
      </c>
      <c r="L13" s="347" t="s">
        <v>1310</v>
      </c>
      <c r="M13" s="347" t="s">
        <v>1311</v>
      </c>
      <c r="N13" s="347" t="s">
        <v>1312</v>
      </c>
    </row>
    <row r="14" spans="2:14" x14ac:dyDescent="0.45">
      <c r="B14" s="347" t="s">
        <v>1313</v>
      </c>
      <c r="C14" s="21">
        <v>31</v>
      </c>
      <c r="D14" s="21">
        <v>28</v>
      </c>
      <c r="E14" s="21">
        <v>31</v>
      </c>
      <c r="F14" s="21">
        <v>30</v>
      </c>
      <c r="G14" s="21">
        <v>31</v>
      </c>
      <c r="H14" s="21">
        <v>30</v>
      </c>
      <c r="I14" s="21">
        <v>31</v>
      </c>
      <c r="J14" s="21">
        <v>31</v>
      </c>
      <c r="K14" s="21">
        <v>30</v>
      </c>
      <c r="L14" s="21">
        <v>31</v>
      </c>
      <c r="M14" s="21">
        <v>30</v>
      </c>
      <c r="N14" s="21">
        <v>31</v>
      </c>
    </row>
    <row r="15" spans="2:14" ht="37.799999999999997" x14ac:dyDescent="0.45">
      <c r="B15" s="150" t="s">
        <v>1314</v>
      </c>
      <c r="C15" s="376"/>
      <c r="D15" s="377"/>
      <c r="E15" s="376"/>
      <c r="F15" s="376"/>
      <c r="G15" s="376"/>
      <c r="H15" s="376"/>
      <c r="I15" s="376"/>
      <c r="J15" s="376"/>
      <c r="K15" s="376"/>
      <c r="L15" s="376"/>
      <c r="M15" s="376"/>
      <c r="N15" s="376"/>
    </row>
    <row r="16" spans="2:14" ht="36" x14ac:dyDescent="0.45">
      <c r="B16" s="345" t="s">
        <v>1315</v>
      </c>
      <c r="C16" s="349">
        <f>+ROUND(C15*0.73*$D$11*C14,0)</f>
        <v>0</v>
      </c>
      <c r="D16" s="350">
        <f t="shared" ref="D16:N16" si="0">+ROUND(D15*0.73*$D$11*D14,0)</f>
        <v>0</v>
      </c>
      <c r="E16" s="349">
        <f t="shared" si="0"/>
        <v>0</v>
      </c>
      <c r="F16" s="349">
        <f t="shared" si="0"/>
        <v>0</v>
      </c>
      <c r="G16" s="349">
        <f t="shared" si="0"/>
        <v>0</v>
      </c>
      <c r="H16" s="349">
        <f t="shared" si="0"/>
        <v>0</v>
      </c>
      <c r="I16" s="349">
        <f t="shared" si="0"/>
        <v>0</v>
      </c>
      <c r="J16" s="349">
        <f t="shared" si="0"/>
        <v>0</v>
      </c>
      <c r="K16" s="349">
        <f t="shared" si="0"/>
        <v>0</v>
      </c>
      <c r="L16" s="349">
        <f t="shared" si="0"/>
        <v>0</v>
      </c>
      <c r="M16" s="349">
        <f t="shared" si="0"/>
        <v>0</v>
      </c>
      <c r="N16" s="349">
        <f t="shared" si="0"/>
        <v>0</v>
      </c>
    </row>
    <row r="17" spans="2:14" ht="36" x14ac:dyDescent="0.45">
      <c r="B17" s="345" t="s">
        <v>1316</v>
      </c>
      <c r="C17" s="349">
        <f>+SUM(C16:N16)/1000</f>
        <v>0</v>
      </c>
      <c r="E17" s="351"/>
      <c r="F17" s="351"/>
      <c r="G17" s="351"/>
      <c r="H17" s="351"/>
      <c r="I17" s="351"/>
      <c r="J17" s="351"/>
      <c r="K17" s="351"/>
      <c r="L17" s="351"/>
      <c r="M17" s="351"/>
      <c r="N17" s="351"/>
    </row>
    <row r="18" spans="2:14" ht="28.5" customHeight="1" x14ac:dyDescent="0.45">
      <c r="B18" s="345" t="s">
        <v>1317</v>
      </c>
      <c r="C18" s="386">
        <v>0.25</v>
      </c>
      <c r="E18" s="351"/>
      <c r="F18" s="351"/>
      <c r="G18" s="351"/>
      <c r="H18" s="351"/>
      <c r="I18" s="351"/>
      <c r="J18" s="351"/>
      <c r="K18" s="351"/>
      <c r="L18" s="351"/>
      <c r="M18" s="351"/>
      <c r="N18" s="351"/>
    </row>
    <row r="19" spans="2:14" ht="25.5" customHeight="1" x14ac:dyDescent="0.45">
      <c r="B19" s="352" t="s">
        <v>1318</v>
      </c>
      <c r="C19" s="353">
        <f>C17*C18</f>
        <v>0</v>
      </c>
      <c r="E19" s="351"/>
      <c r="F19" s="351"/>
      <c r="G19" s="351"/>
      <c r="H19" s="351"/>
      <c r="I19" s="351"/>
      <c r="J19" s="351"/>
      <c r="K19" s="351"/>
      <c r="L19" s="351"/>
      <c r="M19" s="351"/>
      <c r="N19" s="351"/>
    </row>
    <row r="20" spans="2:14" x14ac:dyDescent="0.45">
      <c r="B20" s="354"/>
      <c r="C20" s="355"/>
      <c r="E20" s="351"/>
      <c r="F20" s="351"/>
      <c r="G20" s="351"/>
      <c r="H20" s="351"/>
      <c r="I20" s="351"/>
      <c r="J20" s="351"/>
      <c r="K20" s="351"/>
      <c r="L20" s="351"/>
      <c r="M20" s="351"/>
      <c r="N20" s="351"/>
    </row>
    <row r="22" spans="2:14" x14ac:dyDescent="0.45">
      <c r="B22" s="997" t="s">
        <v>1319</v>
      </c>
      <c r="C22" s="997"/>
      <c r="D22" s="997"/>
      <c r="E22" s="997"/>
      <c r="F22" s="997"/>
      <c r="G22" s="997"/>
      <c r="H22" s="997"/>
      <c r="I22" s="997"/>
      <c r="J22" s="997"/>
      <c r="K22" s="997"/>
      <c r="L22" s="997"/>
      <c r="M22" s="997"/>
      <c r="N22" s="997"/>
    </row>
    <row r="23" spans="2:14" x14ac:dyDescent="0.45">
      <c r="B23" s="31" t="s">
        <v>1320</v>
      </c>
      <c r="C23" s="356"/>
      <c r="D23" s="356"/>
      <c r="E23" s="356"/>
      <c r="F23" s="356"/>
      <c r="G23" s="356"/>
      <c r="H23" s="356"/>
      <c r="I23" s="356"/>
      <c r="J23" s="356"/>
      <c r="K23" s="356"/>
      <c r="L23" s="356"/>
      <c r="M23" s="356"/>
      <c r="N23" s="356"/>
    </row>
    <row r="24" spans="2:14" x14ac:dyDescent="0.45">
      <c r="B24" s="357" t="s">
        <v>1321</v>
      </c>
    </row>
    <row r="25" spans="2:14" x14ac:dyDescent="0.45">
      <c r="B25" s="29" t="s">
        <v>1322</v>
      </c>
    </row>
    <row r="27" spans="2:14" x14ac:dyDescent="0.45">
      <c r="B27" s="29" t="s">
        <v>1323</v>
      </c>
    </row>
  </sheetData>
  <mergeCells count="5">
    <mergeCell ref="B8:C8"/>
    <mergeCell ref="B9:C9"/>
    <mergeCell ref="B10:C10"/>
    <mergeCell ref="B11:C11"/>
    <mergeCell ref="B22:N22"/>
  </mergeCells>
  <phoneticPr fontId="2"/>
  <hyperlinks>
    <hyperlink ref="B24" r:id="rId1" xr:uid="{64667E6F-BBC7-4CE3-836C-8C3011A33AA3}"/>
    <hyperlink ref="M2" location="再エネ対策シート!A1" display="クリックで対策シートに戻る" xr:uid="{83166822-5ED6-4134-BF36-EE4C2567E512}"/>
  </hyperlinks>
  <pageMargins left="0.7" right="0.7" top="0.75" bottom="0.75" header="0.3" footer="0.3"/>
  <pageSetup paperSize="9"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6B0B1-30FB-447D-86E5-09AF66E745D0}">
  <sheetPr>
    <tabColor rgb="FFFFC000"/>
  </sheetPr>
  <dimension ref="B2:M28"/>
  <sheetViews>
    <sheetView zoomScale="80" zoomScaleNormal="80" workbookViewId="0"/>
  </sheetViews>
  <sheetFormatPr defaultColWidth="9" defaultRowHeight="18" x14ac:dyDescent="0.45"/>
  <cols>
    <col min="1" max="1" width="9" style="29"/>
    <col min="2" max="2" width="18.09765625" style="29" customWidth="1"/>
    <col min="3" max="3" width="27.09765625" style="29" customWidth="1"/>
    <col min="4" max="4" width="9" style="29"/>
    <col min="5" max="5" width="11.59765625" style="29" bestFit="1" customWidth="1"/>
    <col min="6" max="7" width="11.59765625" style="29" customWidth="1"/>
    <col min="8" max="16384" width="9" style="29"/>
  </cols>
  <sheetData>
    <row r="2" spans="2:13" ht="22.2" x14ac:dyDescent="0.45">
      <c r="B2" s="28" t="s">
        <v>1324</v>
      </c>
      <c r="M2" s="242" t="s">
        <v>1151</v>
      </c>
    </row>
    <row r="3" spans="2:13" x14ac:dyDescent="0.45">
      <c r="B3" s="32" t="s">
        <v>94</v>
      </c>
      <c r="C3" s="33"/>
      <c r="D3" s="33"/>
      <c r="E3" s="33"/>
      <c r="G3" s="18"/>
      <c r="H3" t="s">
        <v>79</v>
      </c>
    </row>
    <row r="4" spans="2:13" x14ac:dyDescent="0.45">
      <c r="B4" s="309" t="s">
        <v>97</v>
      </c>
      <c r="C4" s="310"/>
      <c r="D4" s="310"/>
      <c r="E4" s="310"/>
      <c r="G4" s="7"/>
      <c r="H4" t="s">
        <v>80</v>
      </c>
    </row>
    <row r="5" spans="2:13" x14ac:dyDescent="0.45">
      <c r="G5" s="378"/>
      <c r="H5" t="s">
        <v>1401</v>
      </c>
    </row>
    <row r="6" spans="2:13" x14ac:dyDescent="0.45">
      <c r="G6" s="11"/>
      <c r="H6" t="s">
        <v>81</v>
      </c>
    </row>
    <row r="7" spans="2:13" x14ac:dyDescent="0.45">
      <c r="G7"/>
      <c r="H7"/>
    </row>
    <row r="8" spans="2:13" x14ac:dyDescent="0.45">
      <c r="B8" s="358"/>
      <c r="C8" s="358" t="s">
        <v>1325</v>
      </c>
      <c r="D8" s="358" t="s">
        <v>1326</v>
      </c>
    </row>
    <row r="9" spans="2:13" ht="15" customHeight="1" x14ac:dyDescent="0.45">
      <c r="B9" s="998" t="s">
        <v>1327</v>
      </c>
      <c r="C9" s="359" t="s">
        <v>1328</v>
      </c>
      <c r="D9" s="360">
        <f>+D10*D14</f>
        <v>0</v>
      </c>
    </row>
    <row r="10" spans="2:13" ht="15" customHeight="1" x14ac:dyDescent="0.45">
      <c r="B10" s="998"/>
      <c r="C10" s="361" t="s">
        <v>1329</v>
      </c>
      <c r="D10" s="360">
        <f>ROUND(0.5*PI()*D11^2/4*D12*D13^3/1000,0)</f>
        <v>0</v>
      </c>
    </row>
    <row r="11" spans="2:13" ht="15" customHeight="1" x14ac:dyDescent="0.45">
      <c r="B11" s="998"/>
      <c r="C11" s="359" t="s">
        <v>1330</v>
      </c>
      <c r="D11" s="362"/>
      <c r="E11" s="4" t="s">
        <v>1493</v>
      </c>
    </row>
    <row r="12" spans="2:13" ht="15" customHeight="1" x14ac:dyDescent="0.45">
      <c r="B12" s="998"/>
      <c r="C12" s="359" t="s">
        <v>1331</v>
      </c>
      <c r="D12" s="362"/>
      <c r="E12" s="4" t="s">
        <v>1494</v>
      </c>
    </row>
    <row r="13" spans="2:13" ht="15" customHeight="1" x14ac:dyDescent="0.45">
      <c r="B13" s="998"/>
      <c r="C13" s="363" t="s">
        <v>1332</v>
      </c>
      <c r="D13" s="364"/>
    </row>
    <row r="14" spans="2:13" ht="15" customHeight="1" x14ac:dyDescent="0.45">
      <c r="B14" s="998"/>
      <c r="C14" s="359" t="s">
        <v>1333</v>
      </c>
      <c r="D14" s="362"/>
      <c r="E14" s="365"/>
      <c r="F14" s="365"/>
      <c r="G14" s="365"/>
    </row>
    <row r="15" spans="2:13" ht="27" customHeight="1" x14ac:dyDescent="0.45">
      <c r="B15" s="998" t="s">
        <v>1334</v>
      </c>
      <c r="C15" s="998"/>
      <c r="D15" s="366">
        <f>ROUND(D9*365*24*0.2/1000,0)</f>
        <v>0</v>
      </c>
      <c r="E15" s="4"/>
      <c r="F15" s="4"/>
      <c r="G15" s="4"/>
    </row>
    <row r="16" spans="2:13" ht="30" customHeight="1" x14ac:dyDescent="0.45">
      <c r="B16" s="994" t="s">
        <v>1317</v>
      </c>
      <c r="C16" s="994"/>
      <c r="D16" s="387">
        <v>0.25</v>
      </c>
    </row>
    <row r="17" spans="2:4" ht="27" customHeight="1" x14ac:dyDescent="0.45">
      <c r="B17" s="999" t="s">
        <v>1318</v>
      </c>
      <c r="C17" s="999"/>
      <c r="D17" s="388">
        <f>D15*D16</f>
        <v>0</v>
      </c>
    </row>
    <row r="21" spans="2:4" x14ac:dyDescent="0.45">
      <c r="B21" s="4" t="s">
        <v>1335</v>
      </c>
    </row>
    <row r="22" spans="2:4" x14ac:dyDescent="0.45">
      <c r="B22" s="357" t="s">
        <v>1336</v>
      </c>
    </row>
    <row r="23" spans="2:4" x14ac:dyDescent="0.45">
      <c r="B23" s="29" t="s">
        <v>1337</v>
      </c>
    </row>
    <row r="25" spans="2:4" x14ac:dyDescent="0.45">
      <c r="B25" s="29" t="s">
        <v>1430</v>
      </c>
    </row>
    <row r="27" spans="2:4" ht="12" customHeight="1" x14ac:dyDescent="0.45"/>
    <row r="28" spans="2:4" x14ac:dyDescent="0.45">
      <c r="B28" s="29" t="s">
        <v>1323</v>
      </c>
    </row>
  </sheetData>
  <mergeCells count="4">
    <mergeCell ref="B9:B14"/>
    <mergeCell ref="B15:C15"/>
    <mergeCell ref="B16:C16"/>
    <mergeCell ref="B17:C17"/>
  </mergeCells>
  <phoneticPr fontId="2"/>
  <hyperlinks>
    <hyperlink ref="B22" r:id="rId1" xr:uid="{7871F8E9-9C59-4F1F-A41C-7CB66DFC9338}"/>
    <hyperlink ref="M2" location="再エネ対策シート!A1" display="クリックで対策シートに戻る" xr:uid="{3FB585D8-4826-4B7C-B004-B9DBD1E651B7}"/>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03097-CC97-43B7-A3D0-4B151E568A77}">
  <sheetPr>
    <tabColor rgb="FF00B050"/>
    <pageSetUpPr fitToPage="1"/>
  </sheetPr>
  <dimension ref="B2:N33"/>
  <sheetViews>
    <sheetView showGridLines="0" zoomScale="80" zoomScaleNormal="80" zoomScaleSheetLayoutView="85" workbookViewId="0"/>
  </sheetViews>
  <sheetFormatPr defaultRowHeight="18" x14ac:dyDescent="0.45"/>
  <cols>
    <col min="2" max="2" width="27.69921875" customWidth="1"/>
    <col min="3" max="3" width="35.19921875" customWidth="1"/>
    <col min="4" max="4" width="29.5" customWidth="1"/>
    <col min="5" max="5" width="9" bestFit="1" customWidth="1"/>
    <col min="6" max="6" width="8.8984375" bestFit="1" customWidth="1"/>
    <col min="7" max="7" width="3.3984375" bestFit="1" customWidth="1"/>
    <col min="8" max="8" width="10.5" bestFit="1" customWidth="1"/>
    <col min="9" max="9" width="23.5" bestFit="1" customWidth="1"/>
    <col min="10" max="10" width="3.3984375" bestFit="1" customWidth="1"/>
    <col min="11" max="11" width="9.8984375" bestFit="1" customWidth="1"/>
    <col min="12" max="12" width="12.3984375" bestFit="1" customWidth="1"/>
  </cols>
  <sheetData>
    <row r="2" spans="2:14" x14ac:dyDescent="0.45">
      <c r="B2" s="4" t="s">
        <v>1258</v>
      </c>
      <c r="H2" s="18"/>
      <c r="I2" t="s">
        <v>79</v>
      </c>
    </row>
    <row r="3" spans="2:14" x14ac:dyDescent="0.45">
      <c r="B3" s="3" t="s">
        <v>1193</v>
      </c>
      <c r="H3" s="7"/>
      <c r="I3" t="s">
        <v>80</v>
      </c>
    </row>
    <row r="4" spans="2:14" x14ac:dyDescent="0.45">
      <c r="B4" s="3" t="s">
        <v>1192</v>
      </c>
      <c r="H4" s="378"/>
      <c r="I4" t="s">
        <v>1401</v>
      </c>
    </row>
    <row r="5" spans="2:14" x14ac:dyDescent="0.45">
      <c r="B5" s="3"/>
      <c r="H5" s="11"/>
      <c r="I5" t="s">
        <v>81</v>
      </c>
    </row>
    <row r="6" spans="2:14" ht="18.600000000000001" thickBot="1" x14ac:dyDescent="0.5">
      <c r="B6" s="3"/>
    </row>
    <row r="7" spans="2:14" ht="18.600000000000001" thickBot="1" x14ac:dyDescent="0.5">
      <c r="B7" s="483" t="s">
        <v>27</v>
      </c>
      <c r="C7" s="484"/>
      <c r="D7" s="485"/>
      <c r="E7" s="320" t="s">
        <v>1194</v>
      </c>
      <c r="F7" s="321" t="s">
        <v>3</v>
      </c>
      <c r="G7" s="321"/>
      <c r="H7" s="321" t="s">
        <v>4</v>
      </c>
      <c r="I7" s="321" t="s">
        <v>3</v>
      </c>
      <c r="J7" s="321"/>
      <c r="K7" s="321" t="s">
        <v>5</v>
      </c>
      <c r="L7" s="322" t="s">
        <v>3</v>
      </c>
      <c r="N7" s="3" t="s">
        <v>1376</v>
      </c>
    </row>
    <row r="8" spans="2:14" x14ac:dyDescent="0.45">
      <c r="B8" s="466" t="s">
        <v>1195</v>
      </c>
      <c r="C8" s="482" t="s">
        <v>1199</v>
      </c>
      <c r="D8" s="482" t="s">
        <v>1196</v>
      </c>
      <c r="E8" s="476"/>
      <c r="F8" s="472" t="s">
        <v>1200</v>
      </c>
      <c r="G8" s="317" t="s">
        <v>7</v>
      </c>
      <c r="H8" s="379">
        <v>1.4200000000000001E-4</v>
      </c>
      <c r="I8" s="317" t="s">
        <v>1201</v>
      </c>
      <c r="J8" s="317" t="s">
        <v>20</v>
      </c>
      <c r="K8" s="334">
        <f>E8*H8*298</f>
        <v>0</v>
      </c>
      <c r="L8" s="318" t="s">
        <v>21</v>
      </c>
    </row>
    <row r="9" spans="2:14" x14ac:dyDescent="0.45">
      <c r="B9" s="467"/>
      <c r="C9" s="460"/>
      <c r="D9" s="460"/>
      <c r="E9" s="477"/>
      <c r="F9" s="473"/>
      <c r="G9" s="11" t="s">
        <v>7</v>
      </c>
      <c r="H9" s="380">
        <v>8.8000000000000003E-4</v>
      </c>
      <c r="I9" s="11" t="s">
        <v>1203</v>
      </c>
      <c r="J9" s="11" t="s">
        <v>8</v>
      </c>
      <c r="K9" s="333">
        <f>E8*H9*25</f>
        <v>0</v>
      </c>
      <c r="L9" s="319" t="s">
        <v>21</v>
      </c>
    </row>
    <row r="10" spans="2:14" x14ac:dyDescent="0.45">
      <c r="B10" s="467"/>
      <c r="C10" s="460"/>
      <c r="D10" s="459" t="s">
        <v>1197</v>
      </c>
      <c r="E10" s="478"/>
      <c r="F10" s="474" t="s">
        <v>1200</v>
      </c>
      <c r="G10" s="11" t="s">
        <v>7</v>
      </c>
      <c r="H10" s="380">
        <v>2.9200000000000002E-5</v>
      </c>
      <c r="I10" s="11" t="s">
        <v>1201</v>
      </c>
      <c r="J10" s="11" t="s">
        <v>8</v>
      </c>
      <c r="K10" s="333">
        <f>E10*H10*298</f>
        <v>0</v>
      </c>
      <c r="L10" s="319" t="s">
        <v>21</v>
      </c>
    </row>
    <row r="11" spans="2:14" x14ac:dyDescent="0.45">
      <c r="B11" s="467"/>
      <c r="C11" s="460"/>
      <c r="D11" s="461"/>
      <c r="E11" s="477"/>
      <c r="F11" s="473"/>
      <c r="G11" s="11" t="s">
        <v>7</v>
      </c>
      <c r="H11" s="380">
        <v>8.8000000000000003E-4</v>
      </c>
      <c r="I11" s="11" t="s">
        <v>1203</v>
      </c>
      <c r="J11" s="11" t="s">
        <v>8</v>
      </c>
      <c r="K11" s="333">
        <f>E10*H11*25</f>
        <v>0</v>
      </c>
      <c r="L11" s="319" t="s">
        <v>21</v>
      </c>
    </row>
    <row r="12" spans="2:14" ht="18.75" customHeight="1" x14ac:dyDescent="0.45">
      <c r="B12" s="467"/>
      <c r="C12" s="460"/>
      <c r="D12" s="459" t="s">
        <v>1198</v>
      </c>
      <c r="E12" s="478"/>
      <c r="F12" s="474" t="s">
        <v>1200</v>
      </c>
      <c r="G12" s="11" t="s">
        <v>7</v>
      </c>
      <c r="H12" s="380">
        <v>1.17E-5</v>
      </c>
      <c r="I12" s="11" t="s">
        <v>1201</v>
      </c>
      <c r="J12" s="11" t="s">
        <v>8</v>
      </c>
      <c r="K12" s="333">
        <f>E12*H12*298</f>
        <v>0</v>
      </c>
      <c r="L12" s="319" t="s">
        <v>21</v>
      </c>
    </row>
    <row r="13" spans="2:14" x14ac:dyDescent="0.45">
      <c r="B13" s="467"/>
      <c r="C13" s="460"/>
      <c r="D13" s="461"/>
      <c r="E13" s="477"/>
      <c r="F13" s="473"/>
      <c r="G13" s="11" t="s">
        <v>7</v>
      </c>
      <c r="H13" s="380">
        <v>8.8000000000000003E-4</v>
      </c>
      <c r="I13" s="11" t="s">
        <v>1203</v>
      </c>
      <c r="J13" s="11" t="s">
        <v>8</v>
      </c>
      <c r="K13" s="333">
        <f>E12*H13*25</f>
        <v>0</v>
      </c>
      <c r="L13" s="319" t="s">
        <v>21</v>
      </c>
    </row>
    <row r="14" spans="2:14" x14ac:dyDescent="0.45">
      <c r="B14" s="467"/>
      <c r="C14" s="460"/>
      <c r="D14" s="459" t="s">
        <v>1202</v>
      </c>
      <c r="E14" s="478"/>
      <c r="F14" s="474" t="s">
        <v>1200</v>
      </c>
      <c r="G14" s="11" t="s">
        <v>7</v>
      </c>
      <c r="H14" s="380">
        <v>4.9999999999999998E-7</v>
      </c>
      <c r="I14" s="11" t="s">
        <v>1201</v>
      </c>
      <c r="J14" s="11" t="s">
        <v>8</v>
      </c>
      <c r="K14" s="333">
        <f>E14*H14*298</f>
        <v>0</v>
      </c>
      <c r="L14" s="319" t="s">
        <v>21</v>
      </c>
    </row>
    <row r="15" spans="2:14" x14ac:dyDescent="0.45">
      <c r="B15" s="467"/>
      <c r="C15" s="460"/>
      <c r="D15" s="461"/>
      <c r="E15" s="477"/>
      <c r="F15" s="473"/>
      <c r="G15" s="11" t="s">
        <v>7</v>
      </c>
      <c r="H15" s="380">
        <v>8.8000000000000003E-4</v>
      </c>
      <c r="I15" s="11" t="s">
        <v>1203</v>
      </c>
      <c r="J15" s="11" t="s">
        <v>8</v>
      </c>
      <c r="K15" s="333">
        <f>E14*H15*25</f>
        <v>0</v>
      </c>
      <c r="L15" s="319" t="s">
        <v>21</v>
      </c>
    </row>
    <row r="16" spans="2:14" ht="36.6" thickBot="1" x14ac:dyDescent="0.5">
      <c r="B16" s="468"/>
      <c r="C16" s="480"/>
      <c r="D16" s="324" t="s">
        <v>1204</v>
      </c>
      <c r="E16" s="325">
        <f>SUM(E8:E15)</f>
        <v>0</v>
      </c>
      <c r="F16" s="326" t="s">
        <v>1200</v>
      </c>
      <c r="G16" s="326" t="s">
        <v>7</v>
      </c>
      <c r="H16" s="381">
        <v>5.9999999999999997E-7</v>
      </c>
      <c r="I16" s="326" t="s">
        <v>1201</v>
      </c>
      <c r="J16" s="326" t="s">
        <v>8</v>
      </c>
      <c r="K16" s="335">
        <f>E16*H16*298</f>
        <v>0</v>
      </c>
      <c r="L16" s="327" t="s">
        <v>21</v>
      </c>
    </row>
    <row r="17" spans="2:12" x14ac:dyDescent="0.45">
      <c r="B17" s="466" t="s">
        <v>1207</v>
      </c>
      <c r="C17" s="482" t="s">
        <v>1205</v>
      </c>
      <c r="D17" s="489" t="s">
        <v>1370</v>
      </c>
      <c r="E17" s="470"/>
      <c r="F17" s="475" t="s">
        <v>1206</v>
      </c>
      <c r="G17" s="317" t="s">
        <v>7</v>
      </c>
      <c r="H17" s="382">
        <v>1.5100000000000001E-3</v>
      </c>
      <c r="I17" s="317" t="s">
        <v>1220</v>
      </c>
      <c r="J17" s="317" t="s">
        <v>8</v>
      </c>
      <c r="K17" s="334">
        <f>E17*H17*298</f>
        <v>0</v>
      </c>
      <c r="L17" s="318" t="s">
        <v>21</v>
      </c>
    </row>
    <row r="18" spans="2:12" x14ac:dyDescent="0.45">
      <c r="B18" s="467"/>
      <c r="C18" s="460"/>
      <c r="D18" s="459"/>
      <c r="E18" s="471"/>
      <c r="F18" s="469"/>
      <c r="G18" s="11" t="s">
        <v>7</v>
      </c>
      <c r="H18" s="380">
        <f>0.0097/1000</f>
        <v>9.7000000000000003E-6</v>
      </c>
      <c r="I18" s="11" t="s">
        <v>1221</v>
      </c>
      <c r="J18" s="11" t="s">
        <v>8</v>
      </c>
      <c r="K18" s="333">
        <f>E17*H18*25</f>
        <v>0</v>
      </c>
      <c r="L18" s="319" t="s">
        <v>21</v>
      </c>
    </row>
    <row r="19" spans="2:12" x14ac:dyDescent="0.45">
      <c r="B19" s="467"/>
      <c r="C19" s="460"/>
      <c r="D19" s="479" t="s">
        <v>1371</v>
      </c>
      <c r="E19" s="471"/>
      <c r="F19" s="469" t="s">
        <v>1206</v>
      </c>
      <c r="G19" s="11" t="s">
        <v>7</v>
      </c>
      <c r="H19" s="382">
        <v>6.4499999999999996E-4</v>
      </c>
      <c r="I19" s="11" t="s">
        <v>1219</v>
      </c>
      <c r="J19" s="11" t="s">
        <v>8</v>
      </c>
      <c r="K19" s="333">
        <f>E19*H19*298</f>
        <v>0</v>
      </c>
      <c r="L19" s="319" t="s">
        <v>21</v>
      </c>
    </row>
    <row r="20" spans="2:12" x14ac:dyDescent="0.45">
      <c r="B20" s="467"/>
      <c r="C20" s="460"/>
      <c r="D20" s="479"/>
      <c r="E20" s="471"/>
      <c r="F20" s="469"/>
      <c r="G20" s="11" t="s">
        <v>7</v>
      </c>
      <c r="H20" s="380">
        <f>0.0097/1000</f>
        <v>9.7000000000000003E-6</v>
      </c>
      <c r="I20" s="11" t="s">
        <v>1221</v>
      </c>
      <c r="J20" s="11" t="s">
        <v>8</v>
      </c>
      <c r="K20" s="333">
        <f>E19*H20*25</f>
        <v>0</v>
      </c>
      <c r="L20" s="319" t="s">
        <v>21</v>
      </c>
    </row>
    <row r="21" spans="2:12" x14ac:dyDescent="0.45">
      <c r="B21" s="467"/>
      <c r="C21" s="460"/>
      <c r="D21" s="459" t="s">
        <v>1372</v>
      </c>
      <c r="E21" s="471"/>
      <c r="F21" s="469" t="s">
        <v>1206</v>
      </c>
      <c r="G21" s="11" t="s">
        <v>7</v>
      </c>
      <c r="H21" s="382">
        <v>8.8199999999999997E-4</v>
      </c>
      <c r="I21" s="11" t="s">
        <v>1219</v>
      </c>
      <c r="J21" s="11" t="s">
        <v>8</v>
      </c>
      <c r="K21" s="333">
        <f>E21*H21*298</f>
        <v>0</v>
      </c>
      <c r="L21" s="319" t="s">
        <v>21</v>
      </c>
    </row>
    <row r="22" spans="2:12" x14ac:dyDescent="0.45">
      <c r="B22" s="467"/>
      <c r="C22" s="460"/>
      <c r="D22" s="460"/>
      <c r="E22" s="471"/>
      <c r="F22" s="469"/>
      <c r="G22" s="11" t="s">
        <v>7</v>
      </c>
      <c r="H22" s="380">
        <f>0.0097/1000</f>
        <v>9.7000000000000003E-6</v>
      </c>
      <c r="I22" s="11" t="s">
        <v>1221</v>
      </c>
      <c r="J22" s="11" t="s">
        <v>8</v>
      </c>
      <c r="K22" s="333">
        <f>E21*H22*25</f>
        <v>0</v>
      </c>
      <c r="L22" s="319" t="s">
        <v>21</v>
      </c>
    </row>
    <row r="23" spans="2:12" x14ac:dyDescent="0.45">
      <c r="B23" s="467"/>
      <c r="C23" s="460"/>
      <c r="D23" s="459" t="s">
        <v>1373</v>
      </c>
      <c r="E23" s="471"/>
      <c r="F23" s="469" t="s">
        <v>1206</v>
      </c>
      <c r="G23" s="11" t="s">
        <v>7</v>
      </c>
      <c r="H23" s="382">
        <v>2.9399999999999999E-4</v>
      </c>
      <c r="I23" s="11" t="s">
        <v>1219</v>
      </c>
      <c r="J23" s="11" t="s">
        <v>8</v>
      </c>
      <c r="K23" s="333">
        <f>E23*H23*298</f>
        <v>0</v>
      </c>
      <c r="L23" s="319" t="s">
        <v>21</v>
      </c>
    </row>
    <row r="24" spans="2:12" x14ac:dyDescent="0.45">
      <c r="B24" s="467"/>
      <c r="C24" s="460"/>
      <c r="D24" s="460"/>
      <c r="E24" s="471"/>
      <c r="F24" s="469"/>
      <c r="G24" s="11" t="s">
        <v>7</v>
      </c>
      <c r="H24" s="380">
        <f>0.0097/1000</f>
        <v>9.7000000000000003E-6</v>
      </c>
      <c r="I24" s="11" t="s">
        <v>1221</v>
      </c>
      <c r="J24" s="11" t="s">
        <v>8</v>
      </c>
      <c r="K24" s="333">
        <f>E23*H24*25</f>
        <v>0</v>
      </c>
      <c r="L24" s="319" t="s">
        <v>21</v>
      </c>
    </row>
    <row r="25" spans="2:12" x14ac:dyDescent="0.45">
      <c r="B25" s="467"/>
      <c r="C25" s="460"/>
      <c r="D25" s="459" t="s">
        <v>1374</v>
      </c>
      <c r="E25" s="471"/>
      <c r="F25" s="469" t="s">
        <v>1206</v>
      </c>
      <c r="G25" s="11" t="s">
        <v>7</v>
      </c>
      <c r="H25" s="383">
        <v>2.63E-4</v>
      </c>
      <c r="I25" s="11" t="s">
        <v>1219</v>
      </c>
      <c r="J25" s="11" t="s">
        <v>8</v>
      </c>
      <c r="K25" s="333">
        <f>E25*H25*298</f>
        <v>0</v>
      </c>
      <c r="L25" s="319" t="s">
        <v>21</v>
      </c>
    </row>
    <row r="26" spans="2:12" ht="60" customHeight="1" x14ac:dyDescent="0.45">
      <c r="B26" s="467"/>
      <c r="C26" s="460"/>
      <c r="D26" s="460"/>
      <c r="E26" s="471"/>
      <c r="F26" s="469"/>
      <c r="G26" s="11" t="s">
        <v>7</v>
      </c>
      <c r="H26" s="380">
        <f>0.0097/1000</f>
        <v>9.7000000000000003E-6</v>
      </c>
      <c r="I26" s="11" t="s">
        <v>1221</v>
      </c>
      <c r="J26" s="11" t="s">
        <v>8</v>
      </c>
      <c r="K26" s="333">
        <f>E25*H26*25</f>
        <v>0</v>
      </c>
      <c r="L26" s="319" t="s">
        <v>21</v>
      </c>
    </row>
    <row r="27" spans="2:12" x14ac:dyDescent="0.45">
      <c r="B27" s="467"/>
      <c r="C27" s="460"/>
      <c r="D27" s="479" t="s">
        <v>1375</v>
      </c>
      <c r="E27" s="471"/>
      <c r="F27" s="469" t="s">
        <v>1206</v>
      </c>
      <c r="G27" s="11" t="s">
        <v>7</v>
      </c>
      <c r="H27" s="382">
        <v>3.1199999999999999E-5</v>
      </c>
      <c r="I27" s="11" t="s">
        <v>1219</v>
      </c>
      <c r="J27" s="11" t="s">
        <v>8</v>
      </c>
      <c r="K27" s="333">
        <f>E27*H27*298</f>
        <v>0</v>
      </c>
      <c r="L27" s="319" t="s">
        <v>21</v>
      </c>
    </row>
    <row r="28" spans="2:12" x14ac:dyDescent="0.45">
      <c r="B28" s="467"/>
      <c r="C28" s="460"/>
      <c r="D28" s="479"/>
      <c r="E28" s="471"/>
      <c r="F28" s="469"/>
      <c r="G28" s="11" t="s">
        <v>7</v>
      </c>
      <c r="H28" s="380">
        <f>0.0097/1000</f>
        <v>9.7000000000000003E-6</v>
      </c>
      <c r="I28" s="11" t="s">
        <v>1221</v>
      </c>
      <c r="J28" s="11" t="s">
        <v>8</v>
      </c>
      <c r="K28" s="333">
        <f>E27*H28*25</f>
        <v>0</v>
      </c>
      <c r="L28" s="319" t="s">
        <v>21</v>
      </c>
    </row>
    <row r="29" spans="2:12" x14ac:dyDescent="0.45">
      <c r="B29" s="481" t="s">
        <v>1209</v>
      </c>
      <c r="C29" s="459" t="s">
        <v>1212</v>
      </c>
      <c r="D29" s="296" t="s">
        <v>1210</v>
      </c>
      <c r="E29" s="316"/>
      <c r="F29" s="315" t="s">
        <v>1214</v>
      </c>
      <c r="G29" s="315" t="s">
        <v>1208</v>
      </c>
      <c r="H29" s="382">
        <v>0.13300000000000001</v>
      </c>
      <c r="I29" s="315" t="s">
        <v>1213</v>
      </c>
      <c r="J29" s="315" t="s">
        <v>8</v>
      </c>
      <c r="K29" s="336">
        <f>E29*H29*25</f>
        <v>0</v>
      </c>
      <c r="L29" s="323" t="s">
        <v>21</v>
      </c>
    </row>
    <row r="30" spans="2:12" x14ac:dyDescent="0.45">
      <c r="B30" s="467"/>
      <c r="C30" s="461"/>
      <c r="D30" s="87" t="s">
        <v>1211</v>
      </c>
      <c r="E30" s="8"/>
      <c r="F30" s="11" t="s">
        <v>1215</v>
      </c>
      <c r="G30" s="11" t="s">
        <v>1208</v>
      </c>
      <c r="H30" s="380">
        <v>6.6699999999999995E-2</v>
      </c>
      <c r="I30" s="11" t="s">
        <v>1213</v>
      </c>
      <c r="J30" s="11" t="s">
        <v>8</v>
      </c>
      <c r="K30" s="333">
        <f>E30*H30*25</f>
        <v>0</v>
      </c>
      <c r="L30" s="319" t="s">
        <v>21</v>
      </c>
    </row>
    <row r="31" spans="2:12" x14ac:dyDescent="0.45">
      <c r="B31" s="490" t="s">
        <v>1216</v>
      </c>
      <c r="C31" s="459" t="s">
        <v>1217</v>
      </c>
      <c r="D31" s="459" t="s">
        <v>1216</v>
      </c>
      <c r="E31" s="478"/>
      <c r="F31" s="493" t="s">
        <v>1218</v>
      </c>
      <c r="G31" s="493" t="s">
        <v>1208</v>
      </c>
      <c r="H31" s="380">
        <v>2.9999999999999997E-4</v>
      </c>
      <c r="I31" s="11" t="s">
        <v>1220</v>
      </c>
      <c r="J31" s="11" t="s">
        <v>8</v>
      </c>
      <c r="K31" s="333">
        <f>E31*H31*298</f>
        <v>0</v>
      </c>
      <c r="L31" s="319" t="s">
        <v>21</v>
      </c>
    </row>
    <row r="32" spans="2:12" ht="18.600000000000001" thickBot="1" x14ac:dyDescent="0.5">
      <c r="B32" s="491"/>
      <c r="C32" s="480"/>
      <c r="D32" s="480"/>
      <c r="E32" s="492"/>
      <c r="F32" s="494"/>
      <c r="G32" s="494"/>
      <c r="H32" s="381">
        <v>4.0000000000000001E-3</v>
      </c>
      <c r="I32" s="326" t="s">
        <v>1222</v>
      </c>
      <c r="J32" s="326" t="s">
        <v>8</v>
      </c>
      <c r="K32" s="335">
        <f>E31*H32*25</f>
        <v>0</v>
      </c>
      <c r="L32" s="327" t="s">
        <v>21</v>
      </c>
    </row>
    <row r="33" spans="2:12" ht="18.600000000000001" thickBot="1" x14ac:dyDescent="0.5">
      <c r="B33" s="486" t="s">
        <v>1259</v>
      </c>
      <c r="C33" s="487"/>
      <c r="D33" s="487"/>
      <c r="E33" s="487"/>
      <c r="F33" s="487"/>
      <c r="G33" s="487"/>
      <c r="H33" s="487"/>
      <c r="I33" s="487"/>
      <c r="J33" s="488"/>
      <c r="K33" s="330">
        <f>SUM(K8:K32)</f>
        <v>0</v>
      </c>
      <c r="L33" s="331" t="s">
        <v>21</v>
      </c>
    </row>
  </sheetData>
  <mergeCells count="44">
    <mergeCell ref="B7:D7"/>
    <mergeCell ref="C8:C16"/>
    <mergeCell ref="B33:J33"/>
    <mergeCell ref="D8:D9"/>
    <mergeCell ref="D10:D11"/>
    <mergeCell ref="D12:D13"/>
    <mergeCell ref="D14:D15"/>
    <mergeCell ref="D17:D18"/>
    <mergeCell ref="D19:D20"/>
    <mergeCell ref="D21:D22"/>
    <mergeCell ref="D23:D24"/>
    <mergeCell ref="B31:B32"/>
    <mergeCell ref="C31:C32"/>
    <mergeCell ref="E31:E32"/>
    <mergeCell ref="F31:F32"/>
    <mergeCell ref="G31:G32"/>
    <mergeCell ref="E27:E28"/>
    <mergeCell ref="F27:F28"/>
    <mergeCell ref="D27:D28"/>
    <mergeCell ref="D31:D32"/>
    <mergeCell ref="B17:B28"/>
    <mergeCell ref="B29:B30"/>
    <mergeCell ref="C17:C28"/>
    <mergeCell ref="C29:C30"/>
    <mergeCell ref="E23:E24"/>
    <mergeCell ref="F23:F24"/>
    <mergeCell ref="E25:E26"/>
    <mergeCell ref="F25:F26"/>
    <mergeCell ref="D25:D26"/>
    <mergeCell ref="E19:E20"/>
    <mergeCell ref="F19:F20"/>
    <mergeCell ref="E21:E22"/>
    <mergeCell ref="B8:B16"/>
    <mergeCell ref="F21:F22"/>
    <mergeCell ref="E17:E18"/>
    <mergeCell ref="F8:F9"/>
    <mergeCell ref="F10:F11"/>
    <mergeCell ref="F12:F13"/>
    <mergeCell ref="F14:F15"/>
    <mergeCell ref="F17:F18"/>
    <mergeCell ref="E8:E9"/>
    <mergeCell ref="E10:E11"/>
    <mergeCell ref="E12:E13"/>
    <mergeCell ref="E14:E15"/>
  </mergeCells>
  <phoneticPr fontId="2"/>
  <pageMargins left="0.7" right="0.7" top="0.75" bottom="0.75" header="0.3" footer="0.3"/>
  <pageSetup paperSize="9" scale="37"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DA5560-BE01-4696-9F9D-8F4E33122082}">
  <sheetPr>
    <tabColor rgb="FF00B050"/>
    <pageSetUpPr fitToPage="1"/>
  </sheetPr>
  <dimension ref="B3:M41"/>
  <sheetViews>
    <sheetView showGridLines="0" zoomScale="85" zoomScaleNormal="85" zoomScaleSheetLayoutView="70" workbookViewId="0"/>
  </sheetViews>
  <sheetFormatPr defaultRowHeight="18" x14ac:dyDescent="0.45"/>
  <cols>
    <col min="2" max="2" width="31.5" customWidth="1"/>
    <col min="3" max="3" width="19.19921875" bestFit="1" customWidth="1"/>
    <col min="4" max="4" width="19.8984375" customWidth="1"/>
    <col min="5" max="5" width="20.19921875" bestFit="1" customWidth="1"/>
    <col min="6" max="6" width="23.3984375" customWidth="1"/>
    <col min="7" max="7" width="20.19921875" bestFit="1" customWidth="1"/>
    <col min="8" max="8" width="20.19921875" customWidth="1"/>
    <col min="9" max="9" width="23.5" bestFit="1" customWidth="1"/>
    <col min="10" max="10" width="23.5" customWidth="1"/>
    <col min="11" max="11" width="18.5" bestFit="1" customWidth="1"/>
    <col min="12" max="12" width="9.5" bestFit="1" customWidth="1"/>
    <col min="13" max="13" width="12" customWidth="1"/>
  </cols>
  <sheetData>
    <row r="3" spans="2:13" x14ac:dyDescent="0.45">
      <c r="B3" s="4" t="s">
        <v>1268</v>
      </c>
    </row>
    <row r="4" spans="2:13" x14ac:dyDescent="0.45">
      <c r="B4" s="3" t="s">
        <v>1223</v>
      </c>
      <c r="G4" s="18"/>
      <c r="H4" t="s">
        <v>79</v>
      </c>
    </row>
    <row r="5" spans="2:13" x14ac:dyDescent="0.45">
      <c r="B5" s="3" t="s">
        <v>1192</v>
      </c>
      <c r="G5" s="7"/>
      <c r="H5" t="s">
        <v>80</v>
      </c>
    </row>
    <row r="6" spans="2:13" x14ac:dyDescent="0.45">
      <c r="B6" s="329" t="s">
        <v>1225</v>
      </c>
      <c r="C6" s="310"/>
      <c r="D6" s="310"/>
      <c r="E6" s="310"/>
      <c r="G6" s="378"/>
      <c r="H6" t="s">
        <v>1401</v>
      </c>
    </row>
    <row r="7" spans="2:13" x14ac:dyDescent="0.45">
      <c r="B7" s="4"/>
      <c r="G7" s="11"/>
      <c r="H7" t="s">
        <v>81</v>
      </c>
    </row>
    <row r="8" spans="2:13" x14ac:dyDescent="0.45">
      <c r="B8" s="4"/>
    </row>
    <row r="9" spans="2:13" x14ac:dyDescent="0.45">
      <c r="B9" s="4" t="s">
        <v>1234</v>
      </c>
    </row>
    <row r="10" spans="2:13" x14ac:dyDescent="0.45">
      <c r="B10" s="465" t="s">
        <v>27</v>
      </c>
      <c r="C10" s="26" t="s">
        <v>1233</v>
      </c>
      <c r="D10" s="26" t="s">
        <v>1231</v>
      </c>
      <c r="E10" s="26" t="s">
        <v>1256</v>
      </c>
      <c r="F10" s="26" t="s">
        <v>1230</v>
      </c>
    </row>
    <row r="11" spans="2:13" x14ac:dyDescent="0.45">
      <c r="B11" s="465"/>
      <c r="C11" s="26" t="s">
        <v>1200</v>
      </c>
      <c r="D11" s="26" t="s">
        <v>1251</v>
      </c>
      <c r="E11" s="26" t="s">
        <v>1232</v>
      </c>
      <c r="F11" s="26" t="s">
        <v>1252</v>
      </c>
    </row>
    <row r="12" spans="2:13" x14ac:dyDescent="0.45">
      <c r="B12" s="26" t="s">
        <v>1224</v>
      </c>
      <c r="C12" s="18"/>
      <c r="D12" s="149">
        <f>C12*22/39.1</f>
        <v>0</v>
      </c>
      <c r="E12" s="378">
        <v>2.71</v>
      </c>
      <c r="F12" s="149">
        <f>D12*E12</f>
        <v>0</v>
      </c>
    </row>
    <row r="13" spans="2:13" x14ac:dyDescent="0.45">
      <c r="B13" s="148"/>
      <c r="C13" s="148"/>
      <c r="D13" s="148"/>
      <c r="I13" s="328"/>
      <c r="M13" s="328"/>
    </row>
    <row r="14" spans="2:13" x14ac:dyDescent="0.45">
      <c r="B14" s="4" t="s">
        <v>1235</v>
      </c>
      <c r="C14" s="148"/>
      <c r="D14" s="148"/>
      <c r="I14" s="328"/>
      <c r="M14" s="328"/>
    </row>
    <row r="15" spans="2:13" x14ac:dyDescent="0.45">
      <c r="B15" s="493" t="s">
        <v>27</v>
      </c>
      <c r="C15" s="26" t="s">
        <v>1236</v>
      </c>
      <c r="D15" s="26" t="s">
        <v>1237</v>
      </c>
      <c r="E15" s="26" t="s">
        <v>1230</v>
      </c>
    </row>
    <row r="16" spans="2:13" x14ac:dyDescent="0.45">
      <c r="B16" s="495"/>
      <c r="C16" s="26" t="s">
        <v>214</v>
      </c>
      <c r="D16" s="26" t="s">
        <v>92</v>
      </c>
      <c r="E16" s="26" t="s">
        <v>1252</v>
      </c>
    </row>
    <row r="17" spans="2:9" x14ac:dyDescent="0.45">
      <c r="B17" s="26" t="s">
        <v>1226</v>
      </c>
      <c r="C17" s="18"/>
      <c r="D17" s="378">
        <v>0.25</v>
      </c>
      <c r="E17" s="7">
        <f>C17*D17</f>
        <v>0</v>
      </c>
    </row>
    <row r="18" spans="2:9" x14ac:dyDescent="0.45">
      <c r="B18" s="26" t="s">
        <v>1227</v>
      </c>
      <c r="C18" s="18"/>
      <c r="D18" s="378">
        <v>0.25</v>
      </c>
      <c r="E18" s="7">
        <f t="shared" ref="E18:E22" si="0">C18*D18</f>
        <v>0</v>
      </c>
    </row>
    <row r="19" spans="2:9" x14ac:dyDescent="0.45">
      <c r="B19" s="26" t="s">
        <v>1228</v>
      </c>
      <c r="C19" s="18"/>
      <c r="D19" s="378">
        <v>0.25</v>
      </c>
      <c r="E19" s="7">
        <f t="shared" si="0"/>
        <v>0</v>
      </c>
    </row>
    <row r="20" spans="2:9" x14ac:dyDescent="0.45">
      <c r="B20" s="26" t="s">
        <v>1238</v>
      </c>
      <c r="C20" s="18"/>
      <c r="D20" s="378">
        <v>0.25</v>
      </c>
      <c r="E20" s="7">
        <f t="shared" si="0"/>
        <v>0</v>
      </c>
    </row>
    <row r="21" spans="2:9" x14ac:dyDescent="0.45">
      <c r="B21" s="26" t="s">
        <v>1239</v>
      </c>
      <c r="C21" s="18"/>
      <c r="D21" s="378">
        <v>0.25</v>
      </c>
      <c r="E21" s="7">
        <f t="shared" si="0"/>
        <v>0</v>
      </c>
    </row>
    <row r="22" spans="2:9" x14ac:dyDescent="0.45">
      <c r="B22" s="26" t="s">
        <v>1240</v>
      </c>
      <c r="C22" s="18"/>
      <c r="D22" s="378">
        <v>0.25</v>
      </c>
      <c r="E22" s="7">
        <f t="shared" si="0"/>
        <v>0</v>
      </c>
    </row>
    <row r="23" spans="2:9" x14ac:dyDescent="0.45">
      <c r="B23" s="26" t="s">
        <v>415</v>
      </c>
      <c r="C23" s="463">
        <f>SUM(E17:E22)</f>
        <v>0</v>
      </c>
      <c r="D23" s="496"/>
      <c r="E23" s="464"/>
    </row>
    <row r="24" spans="2:9" x14ac:dyDescent="0.45">
      <c r="B24" s="148"/>
      <c r="C24" s="148"/>
      <c r="D24" s="148"/>
    </row>
    <row r="25" spans="2:9" x14ac:dyDescent="0.45">
      <c r="B25" s="4" t="s">
        <v>1241</v>
      </c>
      <c r="C25" s="148"/>
      <c r="D25" s="148"/>
    </row>
    <row r="26" spans="2:9" x14ac:dyDescent="0.45">
      <c r="B26" s="465" t="s">
        <v>27</v>
      </c>
      <c r="C26" s="26" t="s">
        <v>1243</v>
      </c>
      <c r="D26" s="26" t="s">
        <v>1244</v>
      </c>
      <c r="E26" s="26" t="s">
        <v>1245</v>
      </c>
      <c r="F26" s="26" t="s">
        <v>1246</v>
      </c>
      <c r="G26" s="26" t="s">
        <v>1230</v>
      </c>
      <c r="H26" s="26" t="s">
        <v>1256</v>
      </c>
      <c r="I26" s="26" t="s">
        <v>1230</v>
      </c>
    </row>
    <row r="27" spans="2:9" x14ac:dyDescent="0.45">
      <c r="B27" s="465"/>
      <c r="C27" s="26" t="s">
        <v>1247</v>
      </c>
      <c r="D27" s="26" t="s">
        <v>1248</v>
      </c>
      <c r="E27" s="26" t="s">
        <v>1249</v>
      </c>
      <c r="F27" s="26" t="s">
        <v>1250</v>
      </c>
      <c r="G27" s="26" t="s">
        <v>1251</v>
      </c>
      <c r="H27" s="26" t="s">
        <v>1232</v>
      </c>
      <c r="I27" s="26" t="s">
        <v>1252</v>
      </c>
    </row>
    <row r="28" spans="2:9" x14ac:dyDescent="0.45">
      <c r="B28" s="26" t="s">
        <v>1242</v>
      </c>
      <c r="C28" s="18"/>
      <c r="D28" s="18"/>
      <c r="E28" s="8"/>
      <c r="F28" s="8"/>
      <c r="G28" s="23" t="b">
        <f>IF(C28="温水",(D28-E28)*C30*F28/C31/1000,IF(C28="蒸気",(D28-E28)*C32*F28/C31/1000))</f>
        <v>0</v>
      </c>
      <c r="H28" s="378">
        <v>2.71</v>
      </c>
      <c r="I28" s="23">
        <f>G28*H28</f>
        <v>0</v>
      </c>
    </row>
    <row r="29" spans="2:9" x14ac:dyDescent="0.45">
      <c r="B29" s="148"/>
      <c r="C29" s="148"/>
      <c r="D29" s="148"/>
    </row>
    <row r="30" spans="2:9" x14ac:dyDescent="0.45">
      <c r="B30" s="26" t="s">
        <v>1260</v>
      </c>
      <c r="C30" s="26">
        <v>4.1859999999999999</v>
      </c>
      <c r="D30" s="148"/>
    </row>
    <row r="31" spans="2:9" x14ac:dyDescent="0.45">
      <c r="B31" s="26" t="s">
        <v>1261</v>
      </c>
      <c r="C31" s="26">
        <v>39.1</v>
      </c>
      <c r="D31" s="148"/>
    </row>
    <row r="32" spans="2:9" x14ac:dyDescent="0.45">
      <c r="B32" s="26" t="s">
        <v>1262</v>
      </c>
      <c r="C32" s="26">
        <v>1.85</v>
      </c>
      <c r="D32" s="148"/>
    </row>
    <row r="33" spans="2:6" x14ac:dyDescent="0.45">
      <c r="B33" s="148"/>
      <c r="C33" s="148"/>
      <c r="D33" s="148"/>
    </row>
    <row r="34" spans="2:6" x14ac:dyDescent="0.45">
      <c r="B34" s="148"/>
      <c r="C34" s="148"/>
      <c r="D34" s="148"/>
    </row>
    <row r="35" spans="2:6" x14ac:dyDescent="0.45">
      <c r="B35" s="4" t="s">
        <v>1254</v>
      </c>
      <c r="C35" s="148"/>
      <c r="D35" s="148"/>
    </row>
    <row r="36" spans="2:6" x14ac:dyDescent="0.45">
      <c r="B36" s="465" t="s">
        <v>27</v>
      </c>
      <c r="C36" s="26" t="s">
        <v>1229</v>
      </c>
      <c r="D36" s="26" t="s">
        <v>1231</v>
      </c>
      <c r="E36" s="26" t="s">
        <v>1256</v>
      </c>
      <c r="F36" s="26" t="s">
        <v>1230</v>
      </c>
    </row>
    <row r="37" spans="2:6" x14ac:dyDescent="0.45">
      <c r="B37" s="465"/>
      <c r="C37" s="26" t="s">
        <v>1255</v>
      </c>
      <c r="D37" s="26" t="s">
        <v>1251</v>
      </c>
      <c r="E37" s="26" t="s">
        <v>1232</v>
      </c>
      <c r="F37" s="26" t="s">
        <v>1252</v>
      </c>
    </row>
    <row r="38" spans="2:6" x14ac:dyDescent="0.45">
      <c r="B38" s="26" t="s">
        <v>1253</v>
      </c>
      <c r="C38" s="18"/>
      <c r="D38" s="333">
        <f>C38/39.1/1000</f>
        <v>0</v>
      </c>
      <c r="E38" s="378">
        <v>2.71</v>
      </c>
      <c r="F38" s="333">
        <f>D38*E38</f>
        <v>0</v>
      </c>
    </row>
    <row r="39" spans="2:6" x14ac:dyDescent="0.45">
      <c r="B39" s="148"/>
      <c r="D39" s="148"/>
    </row>
    <row r="40" spans="2:6" x14ac:dyDescent="0.45">
      <c r="B40" s="4" t="s">
        <v>1272</v>
      </c>
      <c r="D40" s="148"/>
    </row>
    <row r="41" spans="2:6" x14ac:dyDescent="0.45">
      <c r="B41" s="26" t="s">
        <v>1273</v>
      </c>
      <c r="C41" s="332">
        <f>F12+C23+I28+F38</f>
        <v>0</v>
      </c>
      <c r="D41" s="11" t="s">
        <v>1252</v>
      </c>
    </row>
  </sheetData>
  <mergeCells count="5">
    <mergeCell ref="B26:B27"/>
    <mergeCell ref="B10:B11"/>
    <mergeCell ref="B15:B16"/>
    <mergeCell ref="B36:B37"/>
    <mergeCell ref="C23:E23"/>
  </mergeCells>
  <phoneticPr fontId="2"/>
  <dataValidations count="1">
    <dataValidation type="list" allowBlank="1" showInputMessage="1" showErrorMessage="1" sqref="C28 C33" xr:uid="{6BCBD9C9-8BD1-4F60-8F16-75AEE3D9E420}">
      <formula1>"温水,蒸気"</formula1>
    </dataValidation>
  </dataValidations>
  <pageMargins left="0.7" right="0.7" top="0.75" bottom="0.75" header="0.3" footer="0.3"/>
  <pageSetup paperSize="8" scale="64"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74754-52EC-471C-B79D-B978DCD257B4}">
  <sheetPr>
    <tabColor rgb="FF00B050"/>
    <pageSetUpPr fitToPage="1"/>
  </sheetPr>
  <dimension ref="B2:J29"/>
  <sheetViews>
    <sheetView showGridLines="0" workbookViewId="0"/>
  </sheetViews>
  <sheetFormatPr defaultRowHeight="18" x14ac:dyDescent="0.45"/>
  <cols>
    <col min="2" max="2" width="32.09765625" customWidth="1"/>
    <col min="3" max="3" width="9.8984375" bestFit="1" customWidth="1"/>
    <col min="4" max="4" width="17.69921875" bestFit="1" customWidth="1"/>
    <col min="5" max="5" width="12.3984375" customWidth="1"/>
    <col min="6" max="6" width="15.59765625" bestFit="1" customWidth="1"/>
    <col min="7" max="7" width="7.3984375" bestFit="1" customWidth="1"/>
    <col min="8" max="8" width="14.19921875" customWidth="1"/>
  </cols>
  <sheetData>
    <row r="2" spans="2:10" x14ac:dyDescent="0.45">
      <c r="B2" s="4" t="s">
        <v>1404</v>
      </c>
    </row>
    <row r="3" spans="2:10" x14ac:dyDescent="0.45">
      <c r="B3" s="3" t="s">
        <v>1263</v>
      </c>
    </row>
    <row r="4" spans="2:10" x14ac:dyDescent="0.45">
      <c r="B4" s="3" t="s">
        <v>1264</v>
      </c>
      <c r="J4" t="s">
        <v>1386</v>
      </c>
    </row>
    <row r="5" spans="2:10" x14ac:dyDescent="0.45">
      <c r="B5" s="3" t="s">
        <v>1265</v>
      </c>
      <c r="C5" s="29"/>
      <c r="D5" s="29"/>
    </row>
    <row r="6" spans="2:10" x14ac:dyDescent="0.45">
      <c r="B6" s="3" t="s">
        <v>1266</v>
      </c>
      <c r="C6" s="29"/>
      <c r="D6" s="29"/>
    </row>
    <row r="7" spans="2:10" x14ac:dyDescent="0.45">
      <c r="B7" s="3" t="s">
        <v>1267</v>
      </c>
      <c r="C7" s="29"/>
      <c r="D7" s="29"/>
    </row>
    <row r="8" spans="2:10" x14ac:dyDescent="0.45">
      <c r="B8" s="3" t="s">
        <v>1377</v>
      </c>
      <c r="C8" s="29"/>
      <c r="D8" s="29"/>
    </row>
    <row r="9" spans="2:10" x14ac:dyDescent="0.45">
      <c r="B9" s="3" t="s">
        <v>1378</v>
      </c>
      <c r="C9" s="29"/>
      <c r="D9" s="29"/>
    </row>
    <row r="10" spans="2:10" x14ac:dyDescent="0.45">
      <c r="B10" s="3"/>
      <c r="C10" s="29"/>
      <c r="D10" s="29"/>
    </row>
    <row r="11" spans="2:10" x14ac:dyDescent="0.45">
      <c r="B11" s="3" t="s">
        <v>1339</v>
      </c>
      <c r="C11" s="29"/>
      <c r="D11" s="29"/>
    </row>
    <row r="12" spans="2:10" x14ac:dyDescent="0.45">
      <c r="B12" s="3" t="s">
        <v>1405</v>
      </c>
      <c r="C12" s="29"/>
      <c r="D12" s="29"/>
    </row>
    <row r="13" spans="2:10" x14ac:dyDescent="0.45">
      <c r="B13" s="3"/>
      <c r="C13" s="29"/>
      <c r="D13" s="29"/>
    </row>
    <row r="14" spans="2:10" x14ac:dyDescent="0.45">
      <c r="B14" s="3" t="s">
        <v>1340</v>
      </c>
      <c r="C14" s="29"/>
      <c r="D14" s="29"/>
    </row>
    <row r="15" spans="2:10" x14ac:dyDescent="0.45">
      <c r="B15" s="3" t="s">
        <v>1341</v>
      </c>
      <c r="C15" s="29"/>
      <c r="D15" s="29"/>
    </row>
    <row r="16" spans="2:10" x14ac:dyDescent="0.45">
      <c r="B16" s="3" t="s">
        <v>1406</v>
      </c>
      <c r="C16" s="29"/>
      <c r="D16" s="29"/>
    </row>
    <row r="17" spans="2:4" x14ac:dyDescent="0.45">
      <c r="B17" s="3"/>
      <c r="C17" s="29"/>
      <c r="D17" s="29"/>
    </row>
    <row r="18" spans="2:4" x14ac:dyDescent="0.45">
      <c r="B18" s="3" t="s">
        <v>1363</v>
      </c>
      <c r="C18" s="29"/>
      <c r="D18" s="29"/>
    </row>
    <row r="19" spans="2:4" x14ac:dyDescent="0.45">
      <c r="B19" s="3" t="s">
        <v>1407</v>
      </c>
      <c r="C19" s="29"/>
      <c r="D19" s="29"/>
    </row>
    <row r="20" spans="2:4" x14ac:dyDescent="0.45">
      <c r="B20" s="3" t="s">
        <v>1399</v>
      </c>
      <c r="C20" s="29"/>
      <c r="D20" s="29"/>
    </row>
    <row r="21" spans="2:4" x14ac:dyDescent="0.45">
      <c r="B21" s="3" t="s">
        <v>1408</v>
      </c>
      <c r="C21" s="29"/>
      <c r="D21" s="29"/>
    </row>
    <row r="22" spans="2:4" x14ac:dyDescent="0.45">
      <c r="B22" s="3"/>
      <c r="C22" s="29"/>
      <c r="D22" s="29"/>
    </row>
    <row r="23" spans="2:4" x14ac:dyDescent="0.45">
      <c r="B23" s="337" t="s">
        <v>1379</v>
      </c>
    </row>
    <row r="24" spans="2:4" x14ac:dyDescent="0.45">
      <c r="B24" s="337" t="s">
        <v>1409</v>
      </c>
    </row>
    <row r="25" spans="2:4" x14ac:dyDescent="0.45">
      <c r="B25" s="337" t="s">
        <v>1380</v>
      </c>
    </row>
    <row r="26" spans="2:4" x14ac:dyDescent="0.45">
      <c r="B26" s="337" t="s">
        <v>1381</v>
      </c>
    </row>
    <row r="27" spans="2:4" x14ac:dyDescent="0.45">
      <c r="B27" s="4"/>
    </row>
    <row r="28" spans="2:4" x14ac:dyDescent="0.45">
      <c r="B28" s="4"/>
    </row>
    <row r="29" spans="2:4" x14ac:dyDescent="0.45">
      <c r="B29" s="4"/>
    </row>
  </sheetData>
  <phoneticPr fontId="2"/>
  <pageMargins left="0.7" right="0.7" top="0.75" bottom="0.75" header="0.3" footer="0.3"/>
  <pageSetup paperSize="8" scale="51"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E793B-AC5C-416A-B15F-63C0148D9840}">
  <sheetPr>
    <tabColor rgb="FF00B050"/>
    <pageSetUpPr fitToPage="1"/>
  </sheetPr>
  <dimension ref="B2:T47"/>
  <sheetViews>
    <sheetView showGridLines="0" view="pageBreakPreview" zoomScale="80" zoomScaleNormal="85" zoomScaleSheetLayoutView="80" workbookViewId="0"/>
  </sheetViews>
  <sheetFormatPr defaultRowHeight="18" x14ac:dyDescent="0.45"/>
  <cols>
    <col min="2" max="2" width="29.3984375" customWidth="1"/>
    <col min="3" max="3" width="10.5" bestFit="1" customWidth="1"/>
    <col min="4" max="4" width="10.8984375" customWidth="1"/>
    <col min="7" max="7" width="11.3984375" bestFit="1" customWidth="1"/>
    <col min="8" max="8" width="11.3984375" customWidth="1"/>
  </cols>
  <sheetData>
    <row r="2" spans="2:20" x14ac:dyDescent="0.45">
      <c r="B2" s="4" t="s">
        <v>1410</v>
      </c>
    </row>
    <row r="3" spans="2:20" x14ac:dyDescent="0.45">
      <c r="B3" s="337" t="s">
        <v>1411</v>
      </c>
    </row>
    <row r="4" spans="2:20" x14ac:dyDescent="0.45">
      <c r="B4" s="4"/>
    </row>
    <row r="5" spans="2:20" x14ac:dyDescent="0.45">
      <c r="B5" s="337" t="s">
        <v>1278</v>
      </c>
    </row>
    <row r="6" spans="2:20" x14ac:dyDescent="0.45">
      <c r="B6" s="497" t="s">
        <v>1274</v>
      </c>
      <c r="C6" s="498"/>
      <c r="D6" s="498"/>
      <c r="E6" s="498"/>
      <c r="F6" s="498"/>
      <c r="G6" s="499"/>
    </row>
    <row r="7" spans="2:20" x14ac:dyDescent="0.45">
      <c r="B7" s="508" t="s">
        <v>1275</v>
      </c>
      <c r="C7" s="508"/>
      <c r="D7" s="508"/>
      <c r="E7" s="508"/>
      <c r="F7" s="340">
        <f>ツール入力シート①!J53</f>
        <v>0</v>
      </c>
      <c r="G7" s="250" t="s">
        <v>1277</v>
      </c>
    </row>
    <row r="8" spans="2:20" x14ac:dyDescent="0.45">
      <c r="B8" s="508" t="s">
        <v>1276</v>
      </c>
      <c r="C8" s="508"/>
      <c r="D8" s="508"/>
      <c r="E8" s="508"/>
      <c r="F8" s="340">
        <f>ツール入力シート②!K33</f>
        <v>0</v>
      </c>
      <c r="G8" s="250" t="s">
        <v>1277</v>
      </c>
    </row>
    <row r="9" spans="2:20" x14ac:dyDescent="0.45">
      <c r="B9" s="508" t="s">
        <v>1230</v>
      </c>
      <c r="C9" s="508"/>
      <c r="D9" s="508"/>
      <c r="E9" s="508"/>
      <c r="F9" s="340">
        <f>ツール入力シート③!C41</f>
        <v>0</v>
      </c>
      <c r="G9" s="250" t="s">
        <v>1277</v>
      </c>
    </row>
    <row r="10" spans="2:20" x14ac:dyDescent="0.45">
      <c r="B10" s="500" t="s">
        <v>1279</v>
      </c>
      <c r="C10" s="500"/>
      <c r="D10" s="500"/>
      <c r="E10" s="500"/>
      <c r="F10" s="340">
        <f>F7+F8-F9</f>
        <v>0</v>
      </c>
      <c r="G10" s="250" t="s">
        <v>1277</v>
      </c>
    </row>
    <row r="11" spans="2:20" x14ac:dyDescent="0.45">
      <c r="B11" s="500" t="s">
        <v>1280</v>
      </c>
      <c r="C11" s="500"/>
      <c r="D11" s="500"/>
      <c r="E11" s="500"/>
      <c r="F11" s="341" t="e">
        <f>F10/ツール入力シート①!C10</f>
        <v>#DIV/0!</v>
      </c>
      <c r="G11" s="250" t="s">
        <v>1271</v>
      </c>
    </row>
    <row r="12" spans="2:20" x14ac:dyDescent="0.45">
      <c r="B12" s="4"/>
    </row>
    <row r="13" spans="2:20" x14ac:dyDescent="0.45">
      <c r="B13" s="4"/>
    </row>
    <row r="14" spans="2:20" x14ac:dyDescent="0.45">
      <c r="B14" s="3" t="s">
        <v>1412</v>
      </c>
    </row>
    <row r="15" spans="2:20" x14ac:dyDescent="0.45">
      <c r="B15" s="4" t="s">
        <v>1521</v>
      </c>
    </row>
    <row r="16" spans="2:20" x14ac:dyDescent="0.45">
      <c r="B16" s="15"/>
      <c r="C16" s="26" t="s">
        <v>1342</v>
      </c>
      <c r="D16" s="465" t="s">
        <v>1413</v>
      </c>
      <c r="E16" s="465"/>
      <c r="F16" s="465"/>
      <c r="G16" s="465"/>
      <c r="H16" s="465"/>
      <c r="I16" s="465"/>
      <c r="J16" s="465"/>
      <c r="K16" s="465"/>
      <c r="L16" s="465"/>
      <c r="M16" s="465"/>
      <c r="N16" s="465"/>
      <c r="O16" s="465"/>
      <c r="P16" s="465"/>
      <c r="Q16" s="465"/>
      <c r="R16" s="465"/>
      <c r="S16" s="465"/>
      <c r="T16" s="465"/>
    </row>
    <row r="17" spans="2:20" x14ac:dyDescent="0.45">
      <c r="B17" s="347" t="s">
        <v>1343</v>
      </c>
      <c r="C17" s="347" t="s">
        <v>1344</v>
      </c>
      <c r="D17" s="347" t="s">
        <v>1345</v>
      </c>
      <c r="E17" s="347" t="s">
        <v>1346</v>
      </c>
      <c r="F17" s="347" t="s">
        <v>1347</v>
      </c>
      <c r="G17" s="347" t="s">
        <v>1348</v>
      </c>
      <c r="H17" s="347" t="s">
        <v>1349</v>
      </c>
      <c r="I17" s="347" t="s">
        <v>1350</v>
      </c>
      <c r="J17" s="347" t="s">
        <v>1351</v>
      </c>
      <c r="K17" s="347" t="s">
        <v>1352</v>
      </c>
      <c r="L17" s="347" t="s">
        <v>1353</v>
      </c>
      <c r="M17" s="347" t="s">
        <v>1354</v>
      </c>
      <c r="N17" s="347" t="s">
        <v>1355</v>
      </c>
      <c r="O17" s="347" t="s">
        <v>1356</v>
      </c>
      <c r="P17" s="347" t="s">
        <v>1357</v>
      </c>
      <c r="Q17" s="347" t="s">
        <v>1358</v>
      </c>
      <c r="R17" s="347" t="s">
        <v>1359</v>
      </c>
      <c r="S17" s="347" t="s">
        <v>1360</v>
      </c>
      <c r="T17" s="367" t="s">
        <v>1361</v>
      </c>
    </row>
    <row r="18" spans="2:20" ht="36" x14ac:dyDescent="0.45">
      <c r="B18" s="345" t="s">
        <v>1362</v>
      </c>
      <c r="C18" s="369" t="e">
        <f>ツール入力シート①!J36/ツール入力シート①!C9</f>
        <v>#DIV/0!</v>
      </c>
      <c r="D18" s="370" t="e">
        <f>C18-C18*2/100</f>
        <v>#DIV/0!</v>
      </c>
      <c r="E18" s="370" t="e">
        <f t="shared" ref="E18:S18" si="0">D18-D18*2/100</f>
        <v>#DIV/0!</v>
      </c>
      <c r="F18" s="370" t="e">
        <f t="shared" si="0"/>
        <v>#DIV/0!</v>
      </c>
      <c r="G18" s="370" t="e">
        <f t="shared" si="0"/>
        <v>#DIV/0!</v>
      </c>
      <c r="H18" s="370" t="e">
        <f t="shared" si="0"/>
        <v>#DIV/0!</v>
      </c>
      <c r="I18" s="370" t="e">
        <f t="shared" si="0"/>
        <v>#DIV/0!</v>
      </c>
      <c r="J18" s="370" t="e">
        <f t="shared" si="0"/>
        <v>#DIV/0!</v>
      </c>
      <c r="K18" s="370" t="e">
        <f t="shared" si="0"/>
        <v>#DIV/0!</v>
      </c>
      <c r="L18" s="370" t="e">
        <f t="shared" si="0"/>
        <v>#DIV/0!</v>
      </c>
      <c r="M18" s="370" t="e">
        <f t="shared" si="0"/>
        <v>#DIV/0!</v>
      </c>
      <c r="N18" s="370" t="e">
        <f t="shared" si="0"/>
        <v>#DIV/0!</v>
      </c>
      <c r="O18" s="370" t="e">
        <f t="shared" si="0"/>
        <v>#DIV/0!</v>
      </c>
      <c r="P18" s="370" t="e">
        <f t="shared" si="0"/>
        <v>#DIV/0!</v>
      </c>
      <c r="Q18" s="370" t="e">
        <f t="shared" si="0"/>
        <v>#DIV/0!</v>
      </c>
      <c r="R18" s="370" t="e">
        <f t="shared" si="0"/>
        <v>#DIV/0!</v>
      </c>
      <c r="S18" s="370" t="e">
        <f t="shared" si="0"/>
        <v>#DIV/0!</v>
      </c>
      <c r="T18" s="371" t="e">
        <f>S18-S18*2/100</f>
        <v>#DIV/0!</v>
      </c>
    </row>
    <row r="19" spans="2:20" x14ac:dyDescent="0.45">
      <c r="C19" s="451"/>
      <c r="D19" s="449"/>
      <c r="E19" s="449"/>
      <c r="F19" s="449"/>
      <c r="G19" s="449"/>
      <c r="H19" s="449"/>
      <c r="I19" s="449"/>
      <c r="J19" s="449"/>
      <c r="K19" s="449"/>
      <c r="L19" s="449"/>
      <c r="M19" s="449"/>
      <c r="N19" s="449"/>
      <c r="O19" s="449"/>
      <c r="P19" s="449"/>
      <c r="Q19" s="449"/>
      <c r="R19" s="449"/>
      <c r="S19" s="449"/>
      <c r="T19" s="450"/>
    </row>
    <row r="20" spans="2:20" x14ac:dyDescent="0.45">
      <c r="B20" s="345" t="s">
        <v>1522</v>
      </c>
      <c r="C20" s="369" t="e">
        <f>F7/ツール入力シート①!C10</f>
        <v>#DIV/0!</v>
      </c>
      <c r="D20" s="449"/>
      <c r="E20" s="449"/>
      <c r="F20" s="449"/>
      <c r="G20" s="449"/>
      <c r="H20" s="449"/>
      <c r="I20" s="449"/>
      <c r="J20" s="449"/>
      <c r="K20" s="449"/>
      <c r="L20" s="449"/>
      <c r="M20" s="449"/>
      <c r="N20" s="449"/>
      <c r="O20" s="449"/>
      <c r="P20" s="449"/>
      <c r="Q20" s="449"/>
      <c r="R20" s="449"/>
      <c r="S20" s="449"/>
      <c r="T20" s="450"/>
    </row>
    <row r="21" spans="2:20" x14ac:dyDescent="0.45">
      <c r="B21" s="4" t="s">
        <v>1524</v>
      </c>
    </row>
    <row r="22" spans="2:20" x14ac:dyDescent="0.45">
      <c r="B22" s="15" t="s">
        <v>1414</v>
      </c>
      <c r="C22" s="313" t="e">
        <f>IF((C20-T18)&gt;0,(C20-T18)*ツール入力シート①!C10,0)</f>
        <v>#DIV/0!</v>
      </c>
      <c r="D22" s="501" t="s">
        <v>1281</v>
      </c>
      <c r="E22" s="502"/>
    </row>
    <row r="23" spans="2:20" x14ac:dyDescent="0.45">
      <c r="B23" s="3"/>
      <c r="C23" t="s">
        <v>1525</v>
      </c>
    </row>
    <row r="25" spans="2:20" x14ac:dyDescent="0.45">
      <c r="B25" s="337" t="s">
        <v>1415</v>
      </c>
    </row>
    <row r="26" spans="2:20" x14ac:dyDescent="0.45">
      <c r="B26" s="27" t="s">
        <v>78</v>
      </c>
      <c r="C26" s="338">
        <f>ツール入力シート①!C14</f>
        <v>0</v>
      </c>
    </row>
    <row r="27" spans="2:20" x14ac:dyDescent="0.45">
      <c r="B27" s="11" t="s">
        <v>1282</v>
      </c>
      <c r="C27" s="342">
        <v>14063058.031554105</v>
      </c>
      <c r="D27" s="11" t="s">
        <v>1283</v>
      </c>
    </row>
    <row r="28" spans="2:20" x14ac:dyDescent="0.45">
      <c r="B28" s="11" t="s">
        <v>1284</v>
      </c>
      <c r="C28" s="7">
        <f>ツール入力シート①!C10</f>
        <v>0</v>
      </c>
      <c r="D28" s="11" t="s">
        <v>1283</v>
      </c>
    </row>
    <row r="29" spans="2:20" x14ac:dyDescent="0.45">
      <c r="B29" s="11" t="s">
        <v>1285</v>
      </c>
      <c r="C29" s="7">
        <f>C28/C27</f>
        <v>0</v>
      </c>
      <c r="D29" s="19" t="s">
        <v>42</v>
      </c>
    </row>
    <row r="31" spans="2:20" x14ac:dyDescent="0.45">
      <c r="B31" s="15" t="s">
        <v>1416</v>
      </c>
      <c r="C31" s="313">
        <f>IF(C26="OD法",0,C29*410000)</f>
        <v>0</v>
      </c>
      <c r="D31" s="501" t="s">
        <v>1281</v>
      </c>
      <c r="E31" s="502"/>
    </row>
    <row r="33" spans="2:5" x14ac:dyDescent="0.45">
      <c r="B33" s="337" t="s">
        <v>1417</v>
      </c>
    </row>
    <row r="34" spans="2:5" x14ac:dyDescent="0.45">
      <c r="B34" s="27" t="s">
        <v>78</v>
      </c>
      <c r="C34" s="338">
        <f>C26</f>
        <v>0</v>
      </c>
    </row>
    <row r="35" spans="2:5" ht="36" x14ac:dyDescent="0.45">
      <c r="B35" s="25" t="s">
        <v>1286</v>
      </c>
      <c r="C35" s="342">
        <v>4653400.1318999995</v>
      </c>
      <c r="D35" s="11" t="s">
        <v>1283</v>
      </c>
    </row>
    <row r="36" spans="2:5" x14ac:dyDescent="0.45">
      <c r="B36" s="11" t="s">
        <v>1284</v>
      </c>
      <c r="C36" s="7">
        <f>C28</f>
        <v>0</v>
      </c>
      <c r="D36" s="11" t="s">
        <v>1283</v>
      </c>
    </row>
    <row r="37" spans="2:5" x14ac:dyDescent="0.45">
      <c r="B37" s="11" t="s">
        <v>1285</v>
      </c>
      <c r="C37" s="7">
        <f>C36/C35</f>
        <v>0</v>
      </c>
      <c r="D37" s="19" t="s">
        <v>42</v>
      </c>
    </row>
    <row r="39" spans="2:5" x14ac:dyDescent="0.45">
      <c r="B39" s="15" t="s">
        <v>1416</v>
      </c>
      <c r="C39" s="313">
        <f>IF(C34="焼却あり",C37*330000,0)</f>
        <v>0</v>
      </c>
      <c r="D39" s="501" t="s">
        <v>1281</v>
      </c>
      <c r="E39" s="502"/>
    </row>
    <row r="41" spans="2:5" x14ac:dyDescent="0.45">
      <c r="B41" s="4" t="s">
        <v>1287</v>
      </c>
    </row>
    <row r="42" spans="2:5" x14ac:dyDescent="0.45">
      <c r="B42" s="505" t="s">
        <v>1418</v>
      </c>
      <c r="C42" s="506"/>
      <c r="D42" s="507"/>
    </row>
    <row r="43" spans="2:5" x14ac:dyDescent="0.45">
      <c r="B43" s="343" t="e">
        <f>C22+C31+C39</f>
        <v>#DIV/0!</v>
      </c>
      <c r="C43" s="503" t="s">
        <v>1281</v>
      </c>
      <c r="D43" s="504"/>
    </row>
    <row r="45" spans="2:5" x14ac:dyDescent="0.45">
      <c r="B45" s="11" t="s">
        <v>1274</v>
      </c>
      <c r="C45" s="332">
        <f>F10</f>
        <v>0</v>
      </c>
      <c r="D45" s="250" t="s">
        <v>1277</v>
      </c>
    </row>
    <row r="46" spans="2:5" x14ac:dyDescent="0.45">
      <c r="B46" s="11" t="s">
        <v>1419</v>
      </c>
      <c r="C46" s="332" t="e">
        <f>B43</f>
        <v>#DIV/0!</v>
      </c>
      <c r="D46" s="250" t="s">
        <v>1277</v>
      </c>
    </row>
    <row r="47" spans="2:5" x14ac:dyDescent="0.45">
      <c r="B47" s="11" t="s">
        <v>1420</v>
      </c>
      <c r="C47" s="332" t="e">
        <f>C45-C46</f>
        <v>#DIV/0!</v>
      </c>
      <c r="D47" s="250" t="s">
        <v>1277</v>
      </c>
    </row>
  </sheetData>
  <mergeCells count="12">
    <mergeCell ref="B6:G6"/>
    <mergeCell ref="B10:E10"/>
    <mergeCell ref="D31:E31"/>
    <mergeCell ref="D39:E39"/>
    <mergeCell ref="C43:D43"/>
    <mergeCell ref="B42:D42"/>
    <mergeCell ref="D16:T16"/>
    <mergeCell ref="D22:E22"/>
    <mergeCell ref="B11:E11"/>
    <mergeCell ref="B7:E7"/>
    <mergeCell ref="B8:E8"/>
    <mergeCell ref="B9:E9"/>
  </mergeCells>
  <phoneticPr fontId="2"/>
  <pageMargins left="0.7" right="0.7" top="0.75" bottom="0.75" header="0.3" footer="0.3"/>
  <pageSetup paperSize="8" scale="5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DFD6E-C7AB-45D5-96E3-D261D6D4AC8B}">
  <sheetPr>
    <tabColor rgb="FF00B050"/>
    <pageSetUpPr fitToPage="1"/>
  </sheetPr>
  <dimension ref="B1:M35"/>
  <sheetViews>
    <sheetView showGridLines="0" view="pageBreakPreview" zoomScale="70" zoomScaleNormal="70" zoomScaleSheetLayoutView="70" workbookViewId="0"/>
  </sheetViews>
  <sheetFormatPr defaultRowHeight="18" x14ac:dyDescent="0.45"/>
  <cols>
    <col min="2" max="2" width="32.19921875" customWidth="1"/>
    <col min="3" max="3" width="9.8984375" bestFit="1" customWidth="1"/>
    <col min="4" max="4" width="16.8984375" customWidth="1"/>
    <col min="5" max="5" width="9" customWidth="1"/>
    <col min="8" max="8" width="11.19921875" customWidth="1"/>
  </cols>
  <sheetData>
    <row r="1" spans="2:10" x14ac:dyDescent="0.45">
      <c r="B1" s="4" t="s">
        <v>1395</v>
      </c>
    </row>
    <row r="2" spans="2:10" x14ac:dyDescent="0.45">
      <c r="B2" s="3" t="s">
        <v>1390</v>
      </c>
    </row>
    <row r="4" spans="2:10" x14ac:dyDescent="0.45">
      <c r="B4" s="3" t="s">
        <v>32</v>
      </c>
    </row>
    <row r="5" spans="2:10" ht="19.8" x14ac:dyDescent="0.45">
      <c r="B5" s="11" t="s">
        <v>33</v>
      </c>
      <c r="C5" s="7">
        <f>ツール入力シート①!C10</f>
        <v>0</v>
      </c>
      <c r="D5" s="11" t="s">
        <v>34</v>
      </c>
      <c r="E5" s="11" t="s">
        <v>26</v>
      </c>
      <c r="F5" s="11">
        <v>365</v>
      </c>
      <c r="G5" s="11" t="s">
        <v>35</v>
      </c>
      <c r="H5" s="11" t="s">
        <v>8</v>
      </c>
      <c r="I5" s="22">
        <f>C5/F5*1000</f>
        <v>0</v>
      </c>
      <c r="J5" s="11" t="s">
        <v>36</v>
      </c>
    </row>
    <row r="7" spans="2:10" x14ac:dyDescent="0.45">
      <c r="B7" s="3" t="s">
        <v>1398</v>
      </c>
      <c r="C7" s="27" t="s">
        <v>78</v>
      </c>
      <c r="D7" s="512">
        <f>ツール入力シート①!C14</f>
        <v>0</v>
      </c>
      <c r="E7" s="512"/>
    </row>
    <row r="8" spans="2:10" ht="36" x14ac:dyDescent="0.45">
      <c r="B8" s="11"/>
      <c r="C8" s="11" t="s">
        <v>37</v>
      </c>
      <c r="D8" s="25" t="s">
        <v>1183</v>
      </c>
      <c r="E8" s="11" t="s">
        <v>1270</v>
      </c>
      <c r="F8" s="11"/>
      <c r="G8" s="11" t="s">
        <v>1396</v>
      </c>
      <c r="H8" s="11" t="s">
        <v>29</v>
      </c>
    </row>
    <row r="9" spans="2:10" ht="36" x14ac:dyDescent="0.45">
      <c r="B9" s="87" t="s">
        <v>1391</v>
      </c>
      <c r="C9" s="7" t="e">
        <f>VLOOKUP(D7,選択肢リスト!D5:F8,2,FALSE)</f>
        <v>#N/A</v>
      </c>
      <c r="D9" s="24" t="e">
        <f>LOG10(I5)</f>
        <v>#NUM!</v>
      </c>
      <c r="E9" s="7" t="e">
        <f>VLOOKUP(D7,選択肢リスト!D5:F8,3,FALSE)</f>
        <v>#N/A</v>
      </c>
      <c r="F9" s="11" t="s">
        <v>38</v>
      </c>
      <c r="G9" s="23" t="e">
        <f>C9*LN(D9)+E9</f>
        <v>#N/A</v>
      </c>
      <c r="H9" s="11" t="s">
        <v>482</v>
      </c>
    </row>
    <row r="12" spans="2:10" ht="59.25" customHeight="1" x14ac:dyDescent="0.45">
      <c r="B12" s="15"/>
      <c r="C12" s="479" t="s">
        <v>1367</v>
      </c>
      <c r="D12" s="465"/>
      <c r="E12" s="479" t="s">
        <v>1368</v>
      </c>
      <c r="F12" s="465"/>
    </row>
    <row r="13" spans="2:10" x14ac:dyDescent="0.45">
      <c r="B13" s="21" t="s">
        <v>1177</v>
      </c>
      <c r="C13" s="510" t="e">
        <f>'2030年目標設定'!F11</f>
        <v>#DIV/0!</v>
      </c>
      <c r="D13" s="510"/>
      <c r="E13" s="511" t="e">
        <f>C13*C5</f>
        <v>#DIV/0!</v>
      </c>
      <c r="F13" s="511"/>
    </row>
    <row r="14" spans="2:10" x14ac:dyDescent="0.45">
      <c r="B14" s="21" t="s">
        <v>1397</v>
      </c>
      <c r="C14" s="510" t="e">
        <f>G9</f>
        <v>#N/A</v>
      </c>
      <c r="D14" s="510"/>
      <c r="E14" s="511" t="e">
        <f>C14*C5</f>
        <v>#N/A</v>
      </c>
      <c r="F14" s="511"/>
    </row>
    <row r="32" spans="2:10" x14ac:dyDescent="0.45">
      <c r="B32" s="4" t="s">
        <v>1392</v>
      </c>
      <c r="J32" s="4" t="s">
        <v>1392</v>
      </c>
    </row>
    <row r="33" spans="2:13" x14ac:dyDescent="0.45">
      <c r="B33" s="374" t="e">
        <f>C13-C14</f>
        <v>#DIV/0!</v>
      </c>
      <c r="C33" s="509" t="s">
        <v>1382</v>
      </c>
      <c r="D33" s="509"/>
      <c r="J33" s="313" t="e">
        <f>E13-E14</f>
        <v>#DIV/0!</v>
      </c>
      <c r="K33" s="509" t="s">
        <v>1383</v>
      </c>
      <c r="L33" s="509"/>
      <c r="M33" s="509"/>
    </row>
    <row r="34" spans="2:13" x14ac:dyDescent="0.45">
      <c r="B34" t="s">
        <v>1393</v>
      </c>
      <c r="F34" s="375"/>
      <c r="J34" t="s">
        <v>1393</v>
      </c>
    </row>
    <row r="35" spans="2:13" x14ac:dyDescent="0.45">
      <c r="B35" t="s">
        <v>1394</v>
      </c>
      <c r="J35" t="s">
        <v>1394</v>
      </c>
    </row>
  </sheetData>
  <mergeCells count="9">
    <mergeCell ref="C33:D33"/>
    <mergeCell ref="K33:M33"/>
    <mergeCell ref="C14:D14"/>
    <mergeCell ref="E14:F14"/>
    <mergeCell ref="D7:E7"/>
    <mergeCell ref="C12:D12"/>
    <mergeCell ref="E12:F12"/>
    <mergeCell ref="C13:D13"/>
    <mergeCell ref="E13:F13"/>
  </mergeCells>
  <phoneticPr fontId="2"/>
  <pageMargins left="0.7" right="0.7" top="0.75" bottom="0.75" header="0.3" footer="0.3"/>
  <pageSetup paperSize="8" scale="61"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DDF4A-E846-40EA-8F1D-E7C3F982D152}">
  <sheetPr>
    <tabColor rgb="FF0070C0"/>
    <pageSetUpPr fitToPage="1"/>
  </sheetPr>
  <dimension ref="B2:K24"/>
  <sheetViews>
    <sheetView showGridLines="0" zoomScale="70" zoomScaleNormal="70" workbookViewId="0"/>
  </sheetViews>
  <sheetFormatPr defaultRowHeight="18" x14ac:dyDescent="0.45"/>
  <cols>
    <col min="2" max="2" width="19.19921875" customWidth="1"/>
    <col min="3" max="3" width="10.3984375" customWidth="1"/>
    <col min="4" max="4" width="31.69921875" bestFit="1" customWidth="1"/>
    <col min="5" max="5" width="75.19921875" bestFit="1" customWidth="1"/>
    <col min="6" max="6" width="77.5" bestFit="1" customWidth="1"/>
    <col min="7" max="7" width="44.19921875" bestFit="1" customWidth="1"/>
    <col min="8" max="8" width="23.5" bestFit="1" customWidth="1"/>
    <col min="9" max="9" width="19.19921875" bestFit="1" customWidth="1"/>
    <col min="10" max="10" width="25.5" bestFit="1" customWidth="1"/>
    <col min="11" max="11" width="23" customWidth="1"/>
  </cols>
  <sheetData>
    <row r="2" spans="2:11" x14ac:dyDescent="0.45">
      <c r="B2" s="3" t="s">
        <v>102</v>
      </c>
    </row>
    <row r="3" spans="2:11" x14ac:dyDescent="0.45">
      <c r="B3" s="38" t="s">
        <v>104</v>
      </c>
      <c r="C3" s="38"/>
      <c r="D3" s="38"/>
      <c r="E3" s="38"/>
      <c r="F3" s="38"/>
      <c r="G3" s="38"/>
      <c r="H3" s="38"/>
      <c r="I3" s="37"/>
    </row>
    <row r="4" spans="2:11" x14ac:dyDescent="0.45">
      <c r="B4" s="38" t="s">
        <v>140</v>
      </c>
      <c r="C4" s="37"/>
      <c r="D4" s="37"/>
      <c r="E4" s="37"/>
      <c r="F4" s="37"/>
      <c r="G4" s="37"/>
      <c r="H4" s="37"/>
      <c r="I4" s="37"/>
    </row>
    <row r="6" spans="2:11" ht="36" x14ac:dyDescent="0.45">
      <c r="B6" s="516" t="s">
        <v>103</v>
      </c>
      <c r="C6" s="519" t="s">
        <v>105</v>
      </c>
      <c r="D6" s="16" t="s">
        <v>82</v>
      </c>
      <c r="E6" s="518" t="s">
        <v>98</v>
      </c>
      <c r="F6" s="518" t="s">
        <v>1156</v>
      </c>
      <c r="G6" s="518" t="s">
        <v>486</v>
      </c>
      <c r="H6" s="516" t="s">
        <v>497</v>
      </c>
      <c r="I6" s="17" t="s">
        <v>100</v>
      </c>
      <c r="J6" s="17" t="s">
        <v>1184</v>
      </c>
      <c r="K6" s="17" t="s">
        <v>478</v>
      </c>
    </row>
    <row r="7" spans="2:11" x14ac:dyDescent="0.45">
      <c r="B7" s="517"/>
      <c r="C7" s="520"/>
      <c r="D7" s="16" t="s">
        <v>502</v>
      </c>
      <c r="E7" s="517"/>
      <c r="F7" s="517"/>
      <c r="G7" s="517"/>
      <c r="H7" s="517"/>
      <c r="I7" s="16" t="s">
        <v>21</v>
      </c>
      <c r="J7" s="16" t="s">
        <v>21</v>
      </c>
      <c r="K7" s="16" t="s">
        <v>89</v>
      </c>
    </row>
    <row r="8" spans="2:11" x14ac:dyDescent="0.45">
      <c r="B8" s="16"/>
      <c r="C8" s="36" t="s">
        <v>101</v>
      </c>
      <c r="D8" s="16" t="s">
        <v>0</v>
      </c>
      <c r="E8" s="10" t="s">
        <v>99</v>
      </c>
      <c r="F8" s="10" t="s">
        <v>1165</v>
      </c>
      <c r="G8" s="10" t="s">
        <v>487</v>
      </c>
      <c r="H8" s="10" t="s">
        <v>492</v>
      </c>
      <c r="I8" s="34" t="str">
        <f>IF($B8="○",水処理対策No.1!D15,"")</f>
        <v/>
      </c>
      <c r="J8" s="34" t="str">
        <f>IF($B8="○",'2030年目標設定'!$C$45,"")</f>
        <v/>
      </c>
      <c r="K8" s="35" t="str">
        <f>IF(I8&lt;&gt;"",I8/J8*100,"")</f>
        <v/>
      </c>
    </row>
    <row r="9" spans="2:11" x14ac:dyDescent="0.45">
      <c r="B9" s="16"/>
      <c r="C9" s="36" t="s">
        <v>106</v>
      </c>
      <c r="D9" s="16" t="s">
        <v>0</v>
      </c>
      <c r="E9" s="1" t="s">
        <v>107</v>
      </c>
      <c r="F9" s="10" t="s">
        <v>1166</v>
      </c>
      <c r="G9" s="1" t="s">
        <v>488</v>
      </c>
      <c r="H9" s="10" t="s">
        <v>493</v>
      </c>
      <c r="I9" s="34" t="str">
        <f>IF($B9="○",水処理対策No.2!D33,"")</f>
        <v/>
      </c>
      <c r="J9" s="34" t="str">
        <f>IF($B9="○",'2030年目標設定'!$C$45,"")</f>
        <v/>
      </c>
      <c r="K9" s="35" t="str">
        <f t="shared" ref="K9:K17" si="0">IF(I9&lt;&gt;"",I9/J9*100,"")</f>
        <v/>
      </c>
    </row>
    <row r="10" spans="2:11" x14ac:dyDescent="0.45">
      <c r="B10" s="16"/>
      <c r="C10" s="36" t="s">
        <v>139</v>
      </c>
      <c r="D10" s="16" t="s">
        <v>141</v>
      </c>
      <c r="E10" s="1" t="s">
        <v>128</v>
      </c>
      <c r="F10" s="10" t="s">
        <v>1169</v>
      </c>
      <c r="G10" s="1" t="s">
        <v>485</v>
      </c>
      <c r="H10" s="10" t="s">
        <v>494</v>
      </c>
      <c r="I10" s="34" t="str">
        <f>IF($B10="○",水処理対策No.3!D16,"")</f>
        <v/>
      </c>
      <c r="J10" s="34" t="str">
        <f>IF($B10="○",'2030年目標設定'!$C$45,"")</f>
        <v/>
      </c>
      <c r="K10" s="35" t="str">
        <f t="shared" si="0"/>
        <v/>
      </c>
    </row>
    <row r="11" spans="2:11" x14ac:dyDescent="0.45">
      <c r="B11" s="16"/>
      <c r="C11" s="36" t="s">
        <v>476</v>
      </c>
      <c r="D11" s="16" t="s">
        <v>141</v>
      </c>
      <c r="E11" s="1" t="s">
        <v>142</v>
      </c>
      <c r="F11" s="10" t="s">
        <v>1167</v>
      </c>
      <c r="G11" s="1" t="s">
        <v>487</v>
      </c>
      <c r="H11" s="10" t="s">
        <v>495</v>
      </c>
      <c r="I11" s="34" t="str">
        <f>IF($B11="○",水処理対策No.4!$D$16,"")</f>
        <v/>
      </c>
      <c r="J11" s="34" t="str">
        <f>IF($B11="○",'2030年目標設定'!$C$45,"")</f>
        <v/>
      </c>
      <c r="K11" s="35" t="str">
        <f t="shared" si="0"/>
        <v/>
      </c>
    </row>
    <row r="12" spans="2:11" x14ac:dyDescent="0.45">
      <c r="B12" s="16"/>
      <c r="C12" s="36" t="s">
        <v>198</v>
      </c>
      <c r="D12" s="16" t="s">
        <v>141</v>
      </c>
      <c r="E12" s="1" t="s">
        <v>147</v>
      </c>
      <c r="F12" s="10" t="s">
        <v>1168</v>
      </c>
      <c r="G12" s="1" t="s">
        <v>487</v>
      </c>
      <c r="H12" s="10" t="s">
        <v>496</v>
      </c>
      <c r="I12" s="34" t="str">
        <f>IF($B12="○",水処理対策No.5!D16,"")</f>
        <v/>
      </c>
      <c r="J12" s="34" t="str">
        <f>IF($B12="○",'2030年目標設定'!$C$45,"")</f>
        <v/>
      </c>
      <c r="K12" s="35" t="str">
        <f t="shared" si="0"/>
        <v/>
      </c>
    </row>
    <row r="13" spans="2:11" ht="54" x14ac:dyDescent="0.45">
      <c r="B13" s="16"/>
      <c r="C13" s="36" t="s">
        <v>204</v>
      </c>
      <c r="D13" s="16" t="s">
        <v>141</v>
      </c>
      <c r="E13" s="1" t="s">
        <v>111</v>
      </c>
      <c r="F13" s="111" t="s">
        <v>1158</v>
      </c>
      <c r="G13" s="1" t="s">
        <v>489</v>
      </c>
      <c r="H13" s="10" t="s">
        <v>498</v>
      </c>
      <c r="I13" s="34" t="str">
        <f>IF($B13="○",水処理対策No.6!D16,"")</f>
        <v/>
      </c>
      <c r="J13" s="34" t="str">
        <f>IF($B13="○",'2030年目標設定'!$C$45,"")</f>
        <v/>
      </c>
      <c r="K13" s="35" t="str">
        <f t="shared" si="0"/>
        <v/>
      </c>
    </row>
    <row r="14" spans="2:11" ht="54" x14ac:dyDescent="0.45">
      <c r="B14" s="16"/>
      <c r="C14" s="36" t="s">
        <v>208</v>
      </c>
      <c r="D14" s="16" t="s">
        <v>206</v>
      </c>
      <c r="E14" s="1" t="s">
        <v>205</v>
      </c>
      <c r="F14" s="111" t="s">
        <v>1159</v>
      </c>
      <c r="G14" s="1" t="s">
        <v>490</v>
      </c>
      <c r="H14" s="10" t="s">
        <v>498</v>
      </c>
      <c r="I14" s="34" t="str">
        <f>IF($B14="○",水処理対策No.7!D16,"")</f>
        <v/>
      </c>
      <c r="J14" s="34" t="str">
        <f>IF($B14="○",'2030年目標設定'!$C$45,"")</f>
        <v/>
      </c>
      <c r="K14" s="35" t="str">
        <f t="shared" si="0"/>
        <v/>
      </c>
    </row>
    <row r="15" spans="2:11" ht="90" x14ac:dyDescent="0.45">
      <c r="B15" s="16"/>
      <c r="C15" s="36" t="s">
        <v>217</v>
      </c>
      <c r="D15" s="16" t="s">
        <v>206</v>
      </c>
      <c r="E15" s="1" t="s">
        <v>218</v>
      </c>
      <c r="F15" s="111" t="s">
        <v>1160</v>
      </c>
      <c r="G15" s="1" t="s">
        <v>490</v>
      </c>
      <c r="H15" s="10" t="s">
        <v>498</v>
      </c>
      <c r="I15" s="34" t="str">
        <f>IF($B15="○",水処理対策No.8!D18,"")</f>
        <v/>
      </c>
      <c r="J15" s="34" t="str">
        <f>IF($B15="○",'2030年目標設定'!$C$45,"")</f>
        <v/>
      </c>
      <c r="K15" s="35" t="str">
        <f t="shared" si="0"/>
        <v/>
      </c>
    </row>
    <row r="16" spans="2:11" ht="72" x14ac:dyDescent="0.45">
      <c r="B16" s="16"/>
      <c r="C16" s="36" t="s">
        <v>227</v>
      </c>
      <c r="D16" s="16" t="s">
        <v>141</v>
      </c>
      <c r="E16" s="1" t="s">
        <v>226</v>
      </c>
      <c r="F16" s="111" t="s">
        <v>1157</v>
      </c>
      <c r="G16" s="1" t="s">
        <v>491</v>
      </c>
      <c r="H16" s="10" t="s">
        <v>498</v>
      </c>
      <c r="I16" s="34" t="str">
        <f>IF($B16="○",水処理対策No.9!D16,"")</f>
        <v/>
      </c>
      <c r="J16" s="34" t="str">
        <f>IF($B16="○",'2030年目標設定'!$C$45,"")</f>
        <v/>
      </c>
      <c r="K16" s="35" t="str">
        <f t="shared" si="0"/>
        <v/>
      </c>
    </row>
    <row r="17" spans="2:11" x14ac:dyDescent="0.45">
      <c r="B17" s="513" t="s">
        <v>1187</v>
      </c>
      <c r="C17" s="514"/>
      <c r="D17" s="514"/>
      <c r="E17" s="514"/>
      <c r="F17" s="514"/>
      <c r="G17" s="514"/>
      <c r="H17" s="515"/>
      <c r="I17" s="34">
        <f>SUM(I8:I16)</f>
        <v>0</v>
      </c>
      <c r="J17" s="34" t="str">
        <f>IF($I17&gt;0,'2030年目標設定'!$C$45,"")</f>
        <v/>
      </c>
      <c r="K17" s="35" t="e">
        <f t="shared" si="0"/>
        <v>#VALUE!</v>
      </c>
    </row>
    <row r="18" spans="2:11" x14ac:dyDescent="0.45">
      <c r="B18" s="31" t="s">
        <v>499</v>
      </c>
      <c r="C18" s="148"/>
      <c r="D18" s="148"/>
      <c r="E18" s="148"/>
      <c r="F18" s="148"/>
      <c r="G18" s="148"/>
      <c r="H18" s="148"/>
      <c r="I18" s="86"/>
      <c r="J18" s="86"/>
      <c r="K18" s="86"/>
    </row>
    <row r="19" spans="2:11" x14ac:dyDescent="0.45">
      <c r="B19" s="31" t="s">
        <v>501</v>
      </c>
      <c r="C19" s="148"/>
      <c r="D19" s="148"/>
      <c r="E19" s="148"/>
      <c r="F19" s="148"/>
      <c r="G19" s="148"/>
      <c r="H19" s="148"/>
      <c r="I19" s="86"/>
      <c r="J19" s="86"/>
      <c r="K19" s="86"/>
    </row>
    <row r="20" spans="2:11" x14ac:dyDescent="0.45">
      <c r="B20" s="4" t="s">
        <v>500</v>
      </c>
    </row>
    <row r="22" spans="2:11" x14ac:dyDescent="0.45">
      <c r="B22" s="4" t="s">
        <v>479</v>
      </c>
      <c r="J22" s="86"/>
    </row>
    <row r="24" spans="2:11" x14ac:dyDescent="0.45">
      <c r="B24" s="3"/>
      <c r="F24" s="3"/>
    </row>
  </sheetData>
  <mergeCells count="7">
    <mergeCell ref="B17:H17"/>
    <mergeCell ref="H6:H7"/>
    <mergeCell ref="G6:G7"/>
    <mergeCell ref="B6:B7"/>
    <mergeCell ref="C6:C7"/>
    <mergeCell ref="E6:E7"/>
    <mergeCell ref="F6:F7"/>
  </mergeCells>
  <phoneticPr fontId="2"/>
  <hyperlinks>
    <hyperlink ref="C8" location="水処理対策No.1!A1" display="対策No.1" xr:uid="{7F6191EF-C68A-4DA5-9089-0C620D99F6E0}"/>
    <hyperlink ref="C9" location="水処理対策No.2!A1" display="対策No.2" xr:uid="{3A2A89BE-4653-47DC-9FFB-825DD4816C35}"/>
    <hyperlink ref="C10" location="水処理対策No.3!A1" display="対策No.3" xr:uid="{8DCE6B79-A1B0-40FD-B868-A792C7DCE8F7}"/>
    <hyperlink ref="C12" location="水処理対策No.5!A1" display="対策No.5" xr:uid="{1B3D0824-6896-4D43-BBF8-1E51E513089B}"/>
    <hyperlink ref="C13" location="水処理対策No.6!A1" display="対策No.6" xr:uid="{1585CB60-F6A5-437B-A556-419DCBC96A70}"/>
    <hyperlink ref="C14" location="水処理対策No.7!A1" display="対策No.7" xr:uid="{CEC04615-8AE3-440F-97B8-AC102F3041BA}"/>
    <hyperlink ref="C15" location="水処理対策No.8!A1" display="対策No.8" xr:uid="{950CEEE7-C81B-4FEE-B838-85D4AB400BB8}"/>
    <hyperlink ref="C16" location="水処理対策No.9!A1" display="対策No.9" xr:uid="{C77119DF-4817-4A94-ADD6-66349D66AB09}"/>
    <hyperlink ref="C11" location="水処理対策No.4!A1" display="対策No.5" xr:uid="{AD4EE11F-56A9-47FC-A3F9-7BCB4E2AEF03}"/>
  </hyperlinks>
  <pageMargins left="0.7" right="0.7" top="0.75" bottom="0.75" header="0.3" footer="0.3"/>
  <pageSetup paperSize="8" scale="4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33</vt:i4>
      </vt:variant>
      <vt:variant>
        <vt:lpstr>名前付き一覧</vt:lpstr>
      </vt:variant>
      <vt:variant>
        <vt:i4>5</vt:i4>
      </vt:variant>
    </vt:vector>
  </HeadingPairs>
  <TitlesOfParts>
    <vt:vector size="38" baseType="lpstr">
      <vt:lpstr>互換性チェック</vt:lpstr>
      <vt:lpstr>選択肢リスト</vt:lpstr>
      <vt:lpstr>ツール入力シート①</vt:lpstr>
      <vt:lpstr>ツール入力シート②</vt:lpstr>
      <vt:lpstr>ツール入力シート③</vt:lpstr>
      <vt:lpstr>目標設定の考え方について</vt:lpstr>
      <vt:lpstr>2030年目標設定</vt:lpstr>
      <vt:lpstr>2018年平均値</vt:lpstr>
      <vt:lpstr>水処理対策シート</vt:lpstr>
      <vt:lpstr>汚泥処理対策シート</vt:lpstr>
      <vt:lpstr>再エネ対策シート</vt:lpstr>
      <vt:lpstr>追加対策シート</vt:lpstr>
      <vt:lpstr>対策後の結果の出力</vt:lpstr>
      <vt:lpstr>水処理対策No.1</vt:lpstr>
      <vt:lpstr>水処理対策No.2</vt:lpstr>
      <vt:lpstr>水処理対策No.3</vt:lpstr>
      <vt:lpstr>水処理対策No.4</vt:lpstr>
      <vt:lpstr>水処理対策No.5</vt:lpstr>
      <vt:lpstr>水処理対策No.6</vt:lpstr>
      <vt:lpstr>水処理対策No.7</vt:lpstr>
      <vt:lpstr>水処理対策No.8</vt:lpstr>
      <vt:lpstr>水処理対策No.9</vt:lpstr>
      <vt:lpstr>汚泥処理対策No.1</vt:lpstr>
      <vt:lpstr>汚泥処理対策No.2</vt:lpstr>
      <vt:lpstr>汚泥処理対策No.3</vt:lpstr>
      <vt:lpstr>汚泥処理対策No.4</vt:lpstr>
      <vt:lpstr>汚泥処理対策No.5</vt:lpstr>
      <vt:lpstr>汚泥処理対策No.6</vt:lpstr>
      <vt:lpstr>汚泥処理対策No.7</vt:lpstr>
      <vt:lpstr>汚泥処理対策No.8</vt:lpstr>
      <vt:lpstr>汚泥処理対策No.9</vt:lpstr>
      <vt:lpstr>再エネ対策No.1</vt:lpstr>
      <vt:lpstr>再エネ対策No.2</vt:lpstr>
      <vt:lpstr>ツール入力シート①!Print_Area</vt:lpstr>
      <vt:lpstr>汚泥処理対策No.5!Print_Area</vt:lpstr>
      <vt:lpstr>汚泥処理対策No.6!Print_Area</vt:lpstr>
      <vt:lpstr>汚泥処理対策No.7!Print_Area</vt:lpstr>
      <vt:lpstr>汚泥処理対策No.9!Print_Area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蓮見 修平</dc:creator>
  <cp:lastModifiedBy>外川 弘典</cp:lastModifiedBy>
  <cp:lastPrinted>2023-01-31T02:32:44Z</cp:lastPrinted>
  <dcterms:created xsi:type="dcterms:W3CDTF">2022-01-27T10:15:37Z</dcterms:created>
  <dcterms:modified xsi:type="dcterms:W3CDTF">2024-04-15T02:44:18Z</dcterms:modified>
</cp:coreProperties>
</file>